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vlaming\AppData\Local\Microsoft\Windows\INetCache\Content.Outlook\Y6SC31OK\"/>
    </mc:Choice>
  </mc:AlternateContent>
  <bookViews>
    <workbookView xWindow="0" yWindow="0" windowWidth="18000" windowHeight="7155" tabRatio="918"/>
  </bookViews>
  <sheets>
    <sheet name="Grafieken en berekening" sheetId="1" r:id="rId1"/>
  </sheets>
  <definedNames>
    <definedName name="_xlnm.Print_Area" localSheetId="0">'Grafieken en berekening'!$A$8:$AX$130</definedName>
  </definedNames>
  <calcPr calcId="152511" calcMode="autoNoTable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P40" i="1" s="1"/>
  <c r="AL101" i="1"/>
  <c r="AL42" i="1"/>
  <c r="F22" i="1"/>
  <c r="F111" i="1" s="1"/>
  <c r="G22" i="1"/>
  <c r="G51" i="1" s="1"/>
  <c r="G81" i="1" s="1"/>
  <c r="G111" i="1" l="1"/>
  <c r="H45" i="1"/>
  <c r="H104" i="1"/>
  <c r="H75" i="1"/>
  <c r="AE98" i="1"/>
  <c r="C58" i="1"/>
  <c r="G23" i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B187" i="1"/>
  <c r="B193" i="1" s="1"/>
  <c r="AM144" i="1"/>
  <c r="AL144" i="1"/>
  <c r="AL192" i="1"/>
  <c r="AK144" i="1"/>
  <c r="AK192" i="1" s="1"/>
  <c r="AJ144" i="1"/>
  <c r="AJ192" i="1"/>
  <c r="AI144" i="1"/>
  <c r="AI192" i="1" s="1"/>
  <c r="AH144" i="1"/>
  <c r="AH192" i="1" s="1"/>
  <c r="AG144" i="1"/>
  <c r="AG192" i="1"/>
  <c r="AF144" i="1"/>
  <c r="AF192" i="1" s="1"/>
  <c r="AE144" i="1"/>
  <c r="AE192" i="1" s="1"/>
  <c r="AD144" i="1"/>
  <c r="AD192" i="1" s="1"/>
  <c r="AC144" i="1"/>
  <c r="AC192" i="1" s="1"/>
  <c r="AB144" i="1"/>
  <c r="AB192" i="1" s="1"/>
  <c r="AA144" i="1"/>
  <c r="AA192" i="1" s="1"/>
  <c r="Z144" i="1"/>
  <c r="Z192" i="1" s="1"/>
  <c r="Y144" i="1"/>
  <c r="Y192" i="1" s="1"/>
  <c r="X144" i="1"/>
  <c r="X192" i="1" s="1"/>
  <c r="W144" i="1"/>
  <c r="W192" i="1" s="1"/>
  <c r="V144" i="1"/>
  <c r="V192" i="1"/>
  <c r="F144" i="1"/>
  <c r="F192" i="1"/>
  <c r="G144" i="1"/>
  <c r="G192" i="1" s="1"/>
  <c r="B195" i="1"/>
  <c r="B189" i="1" s="1"/>
  <c r="AM159" i="1"/>
  <c r="G159" i="1"/>
  <c r="G193" i="1"/>
  <c r="F159" i="1"/>
  <c r="F193" i="1" s="1"/>
  <c r="AM133" i="1"/>
  <c r="AM173" i="1"/>
  <c r="G173" i="1"/>
  <c r="G194" i="1" s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AM171" i="1"/>
  <c r="AM170" i="1"/>
  <c r="AM169" i="1"/>
  <c r="AM168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73" i="1"/>
  <c r="F194" i="1" s="1"/>
  <c r="F172" i="1"/>
  <c r="F168" i="1"/>
  <c r="F169" i="1"/>
  <c r="F170" i="1"/>
  <c r="F171" i="1"/>
  <c r="B179" i="1"/>
  <c r="B180" i="1"/>
  <c r="B181" i="1"/>
  <c r="B182" i="1"/>
  <c r="B178" i="1"/>
  <c r="AM158" i="1"/>
  <c r="AK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AM157" i="1"/>
  <c r="AM156" i="1"/>
  <c r="AM155" i="1"/>
  <c r="AM154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8" i="1"/>
  <c r="F154" i="1"/>
  <c r="F155" i="1"/>
  <c r="F156" i="1"/>
  <c r="F157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AM142" i="1"/>
  <c r="AM141" i="1"/>
  <c r="AM140" i="1"/>
  <c r="AM139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43" i="1"/>
  <c r="F140" i="1"/>
  <c r="F141" i="1"/>
  <c r="F142" i="1"/>
  <c r="F139" i="1"/>
  <c r="B144" i="1"/>
  <c r="B143" i="1"/>
  <c r="B139" i="1"/>
  <c r="B140" i="1"/>
  <c r="B141" i="1"/>
  <c r="B142" i="1"/>
  <c r="B138" i="1"/>
  <c r="C135" i="1"/>
  <c r="B192" i="1" s="1"/>
  <c r="B186" i="1" s="1"/>
  <c r="AM184" i="1"/>
  <c r="F184" i="1"/>
  <c r="F195" i="1" s="1"/>
  <c r="AM182" i="1"/>
  <c r="AM181" i="1"/>
  <c r="AM180" i="1"/>
  <c r="AM179" i="1"/>
  <c r="AM178" i="1"/>
  <c r="F179" i="1"/>
  <c r="F180" i="1"/>
  <c r="F181" i="1"/>
  <c r="F182" i="1"/>
  <c r="F178" i="1"/>
  <c r="C164" i="1"/>
  <c r="B194" i="1" s="1"/>
  <c r="B188" i="1" s="1"/>
  <c r="C150" i="1"/>
  <c r="AM166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AM152" i="1"/>
  <c r="G112" i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R112" i="1" s="1"/>
  <c r="S112" i="1" s="1"/>
  <c r="T112" i="1" s="1"/>
  <c r="U112" i="1" s="1"/>
  <c r="V112" i="1" s="1"/>
  <c r="W112" i="1" s="1"/>
  <c r="X112" i="1" s="1"/>
  <c r="Y112" i="1" s="1"/>
  <c r="Z112" i="1" s="1"/>
  <c r="AA112" i="1" s="1"/>
  <c r="AB112" i="1" s="1"/>
  <c r="AC112" i="1" s="1"/>
  <c r="AD112" i="1" s="1"/>
  <c r="AE112" i="1" s="1"/>
  <c r="AF112" i="1" s="1"/>
  <c r="AG112" i="1" s="1"/>
  <c r="AH112" i="1" s="1"/>
  <c r="AI112" i="1" s="1"/>
  <c r="AJ112" i="1" s="1"/>
  <c r="AK112" i="1" s="1"/>
  <c r="AL112" i="1" s="1"/>
  <c r="AL172" i="1"/>
  <c r="E108" i="1"/>
  <c r="C188" i="1" s="1"/>
  <c r="G82" i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S82" i="1" s="1"/>
  <c r="T82" i="1" s="1"/>
  <c r="U82" i="1" s="1"/>
  <c r="V82" i="1" s="1"/>
  <c r="W82" i="1" s="1"/>
  <c r="X82" i="1" s="1"/>
  <c r="Y82" i="1" s="1"/>
  <c r="Z82" i="1" s="1"/>
  <c r="AA82" i="1" s="1"/>
  <c r="AB82" i="1" s="1"/>
  <c r="AC82" i="1" s="1"/>
  <c r="AD82" i="1" s="1"/>
  <c r="AE82" i="1" s="1"/>
  <c r="AF82" i="1" s="1"/>
  <c r="AG82" i="1" s="1"/>
  <c r="AH82" i="1" s="1"/>
  <c r="AI82" i="1" s="1"/>
  <c r="AJ82" i="1" s="1"/>
  <c r="AK82" i="1" s="1"/>
  <c r="AL82" i="1" s="1"/>
  <c r="E78" i="1"/>
  <c r="C187" i="1" s="1"/>
  <c r="E48" i="1"/>
  <c r="C186" i="1"/>
  <c r="C26" i="1"/>
  <c r="G52" i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H22" i="1"/>
  <c r="F51" i="1"/>
  <c r="F81" i="1" s="1"/>
  <c r="C115" i="1"/>
  <c r="C85" i="1"/>
  <c r="F91" i="1" s="1"/>
  <c r="AL158" i="1"/>
  <c r="H144" i="1"/>
  <c r="H192" i="1" s="1"/>
  <c r="U143" i="1"/>
  <c r="O12" i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O13" i="1"/>
  <c r="G123" i="1" s="1"/>
  <c r="G181" i="1" s="1"/>
  <c r="O11" i="1"/>
  <c r="G34" i="1" s="1"/>
  <c r="C55" i="1"/>
  <c r="F62" i="1" s="1"/>
  <c r="G169" i="1"/>
  <c r="AL178" i="1"/>
  <c r="AI178" i="1"/>
  <c r="G35" i="1"/>
  <c r="H35" i="1" s="1"/>
  <c r="I35" i="1" s="1"/>
  <c r="AH178" i="1"/>
  <c r="F33" i="1"/>
  <c r="F138" i="1" s="1"/>
  <c r="G36" i="1"/>
  <c r="H36" i="1" s="1"/>
  <c r="I36" i="1" s="1"/>
  <c r="J36" i="1" s="1"/>
  <c r="K36" i="1" s="1"/>
  <c r="L36" i="1" s="1"/>
  <c r="M36" i="1" s="1"/>
  <c r="N36" i="1" s="1"/>
  <c r="O36" i="1" s="1"/>
  <c r="P36" i="1" s="1"/>
  <c r="G121" i="1"/>
  <c r="AK178" i="1"/>
  <c r="AG178" i="1"/>
  <c r="AJ178" i="1"/>
  <c r="AF178" i="1"/>
  <c r="H169" i="1"/>
  <c r="F41" i="1"/>
  <c r="J35" i="1"/>
  <c r="K35" i="1" s="1"/>
  <c r="L35" i="1" s="1"/>
  <c r="M35" i="1" s="1"/>
  <c r="N35" i="1" s="1"/>
  <c r="O35" i="1" s="1"/>
  <c r="P35" i="1" s="1"/>
  <c r="I169" i="1"/>
  <c r="J169" i="1"/>
  <c r="K169" i="1"/>
  <c r="L169" i="1"/>
  <c r="M169" i="1"/>
  <c r="N169" i="1"/>
  <c r="O169" i="1"/>
  <c r="Q144" i="1"/>
  <c r="Q192" i="1" s="1"/>
  <c r="R144" i="1"/>
  <c r="R192" i="1" s="1"/>
  <c r="Q169" i="1"/>
  <c r="S144" i="1"/>
  <c r="S192" i="1" s="1"/>
  <c r="Q41" i="1"/>
  <c r="R169" i="1"/>
  <c r="T144" i="1"/>
  <c r="T192" i="1" s="1"/>
  <c r="R41" i="1"/>
  <c r="S169" i="1"/>
  <c r="U144" i="1"/>
  <c r="U192" i="1" s="1"/>
  <c r="S41" i="1"/>
  <c r="T169" i="1"/>
  <c r="U41" i="1"/>
  <c r="T41" i="1"/>
  <c r="U169" i="1"/>
  <c r="V169" i="1"/>
  <c r="W169" i="1"/>
  <c r="X169" i="1"/>
  <c r="Y169" i="1"/>
  <c r="AA169" i="1"/>
  <c r="AB169" i="1"/>
  <c r="AC169" i="1"/>
  <c r="AF173" i="1"/>
  <c r="AF194" i="1" s="1"/>
  <c r="AE169" i="1"/>
  <c r="AG173" i="1"/>
  <c r="AG194" i="1" s="1"/>
  <c r="AF171" i="1"/>
  <c r="AF168" i="1"/>
  <c r="AF169" i="1"/>
  <c r="AF181" i="1"/>
  <c r="AH173" i="1"/>
  <c r="AH194" i="1"/>
  <c r="AF179" i="1"/>
  <c r="AF166" i="1"/>
  <c r="AG171" i="1"/>
  <c r="AG168" i="1"/>
  <c r="AF170" i="1"/>
  <c r="AG169" i="1"/>
  <c r="AF180" i="1"/>
  <c r="AG181" i="1"/>
  <c r="AI173" i="1"/>
  <c r="AI194" i="1" s="1"/>
  <c r="AG179" i="1"/>
  <c r="AG170" i="1"/>
  <c r="AH171" i="1"/>
  <c r="AH168" i="1"/>
  <c r="AG166" i="1"/>
  <c r="AH169" i="1"/>
  <c r="AH181" i="1"/>
  <c r="AF184" i="1"/>
  <c r="AF195" i="1" s="1"/>
  <c r="AF182" i="1"/>
  <c r="AG180" i="1"/>
  <c r="AJ173" i="1"/>
  <c r="AJ194" i="1" s="1"/>
  <c r="AK154" i="1"/>
  <c r="AH179" i="1"/>
  <c r="AH166" i="1"/>
  <c r="AI171" i="1"/>
  <c r="AI168" i="1"/>
  <c r="AI169" i="1"/>
  <c r="AH170" i="1"/>
  <c r="AG184" i="1"/>
  <c r="AG195" i="1" s="1"/>
  <c r="AG182" i="1"/>
  <c r="AI181" i="1"/>
  <c r="AH180" i="1"/>
  <c r="AK139" i="1"/>
  <c r="AK173" i="1"/>
  <c r="AK194" i="1" s="1"/>
  <c r="AK159" i="1"/>
  <c r="AK193" i="1" s="1"/>
  <c r="AI179" i="1"/>
  <c r="AL154" i="1"/>
  <c r="AJ171" i="1"/>
  <c r="AJ168" i="1"/>
  <c r="AK142" i="1"/>
  <c r="AK157" i="1"/>
  <c r="AI166" i="1"/>
  <c r="AI170" i="1"/>
  <c r="AJ169" i="1"/>
  <c r="AI180" i="1"/>
  <c r="AH184" i="1"/>
  <c r="AH195" i="1"/>
  <c r="AH182" i="1"/>
  <c r="AJ181" i="1"/>
  <c r="AL139" i="1"/>
  <c r="AL173" i="1"/>
  <c r="AL194" i="1" s="1"/>
  <c r="AL159" i="1"/>
  <c r="AL193" i="1" s="1"/>
  <c r="AJ179" i="1"/>
  <c r="AK168" i="1"/>
  <c r="AJ166" i="1"/>
  <c r="AL169" i="1"/>
  <c r="AK169" i="1"/>
  <c r="AL142" i="1"/>
  <c r="AL157" i="1"/>
  <c r="AJ170" i="1"/>
  <c r="AI184" i="1"/>
  <c r="AI195" i="1" s="1"/>
  <c r="AI182" i="1"/>
  <c r="AK155" i="1"/>
  <c r="AL181" i="1"/>
  <c r="AK181" i="1"/>
  <c r="AK156" i="1"/>
  <c r="AJ180" i="1"/>
  <c r="AL168" i="1"/>
  <c r="AK179" i="1"/>
  <c r="AL170" i="1"/>
  <c r="AK170" i="1"/>
  <c r="AK166" i="1"/>
  <c r="AK171" i="1"/>
  <c r="AK141" i="1"/>
  <c r="AJ184" i="1"/>
  <c r="AJ195" i="1" s="1"/>
  <c r="AJ182" i="1"/>
  <c r="AL155" i="1"/>
  <c r="AK140" i="1"/>
  <c r="AK71" i="1"/>
  <c r="AK152" i="1" s="1"/>
  <c r="AL180" i="1"/>
  <c r="AK180" i="1"/>
  <c r="AL179" i="1"/>
  <c r="AL141" i="1"/>
  <c r="AL156" i="1"/>
  <c r="AL171" i="1"/>
  <c r="AK184" i="1"/>
  <c r="AK195" i="1" s="1"/>
  <c r="AK182" i="1"/>
  <c r="AL140" i="1"/>
  <c r="AL71" i="1"/>
  <c r="AL72" i="1" s="1"/>
  <c r="AL166" i="1"/>
  <c r="AL182" i="1"/>
  <c r="AL184" i="1"/>
  <c r="AL195" i="1" s="1"/>
  <c r="F153" i="1" l="1"/>
  <c r="F71" i="1"/>
  <c r="AD169" i="1"/>
  <c r="Z169" i="1"/>
  <c r="P169" i="1"/>
  <c r="AL152" i="1"/>
  <c r="G65" i="1"/>
  <c r="H123" i="1"/>
  <c r="G94" i="1"/>
  <c r="G37" i="1"/>
  <c r="G41" i="1" s="1"/>
  <c r="H34" i="1"/>
  <c r="F72" i="1"/>
  <c r="F161" i="1"/>
  <c r="G151" i="1" s="1"/>
  <c r="G160" i="1" s="1"/>
  <c r="G63" i="1"/>
  <c r="G92" i="1"/>
  <c r="G124" i="1"/>
  <c r="G182" i="1" s="1"/>
  <c r="H121" i="1"/>
  <c r="G179" i="1"/>
  <c r="F167" i="1"/>
  <c r="F100" i="1"/>
  <c r="G122" i="1"/>
  <c r="I104" i="1"/>
  <c r="H173" i="1"/>
  <c r="H194" i="1" s="1"/>
  <c r="G64" i="1"/>
  <c r="I22" i="1"/>
  <c r="H111" i="1"/>
  <c r="H51" i="1"/>
  <c r="H81" i="1" s="1"/>
  <c r="AJ69" i="1"/>
  <c r="AJ158" i="1" s="1"/>
  <c r="I75" i="1"/>
  <c r="H159" i="1"/>
  <c r="H193" i="1" s="1"/>
  <c r="G120" i="1"/>
  <c r="AD120" i="1"/>
  <c r="Z120" i="1"/>
  <c r="V120" i="1"/>
  <c r="R120" i="1"/>
  <c r="N120" i="1"/>
  <c r="J120" i="1"/>
  <c r="AC120" i="1"/>
  <c r="Y120" i="1"/>
  <c r="U120" i="1"/>
  <c r="Q120" i="1"/>
  <c r="M120" i="1"/>
  <c r="I120" i="1"/>
  <c r="AB120" i="1"/>
  <c r="X120" i="1"/>
  <c r="T120" i="1"/>
  <c r="P120" i="1"/>
  <c r="L120" i="1"/>
  <c r="H120" i="1"/>
  <c r="S120" i="1"/>
  <c r="W120" i="1"/>
  <c r="AE120" i="1"/>
  <c r="O120" i="1"/>
  <c r="AA120" i="1"/>
  <c r="K120" i="1"/>
  <c r="I45" i="1"/>
  <c r="J45" i="1" s="1"/>
  <c r="T137" i="1"/>
  <c r="S137" i="1"/>
  <c r="Q137" i="1"/>
  <c r="U137" i="1"/>
  <c r="F146" i="1"/>
  <c r="G136" i="1" s="1"/>
  <c r="G145" i="1" s="1"/>
  <c r="F42" i="1"/>
  <c r="R137" i="1"/>
  <c r="I144" i="1"/>
  <c r="I192" i="1" s="1"/>
  <c r="H94" i="1" l="1"/>
  <c r="G170" i="1"/>
  <c r="I123" i="1"/>
  <c r="H181" i="1"/>
  <c r="G141" i="1"/>
  <c r="H65" i="1"/>
  <c r="G156" i="1"/>
  <c r="G42" i="1"/>
  <c r="G137" i="1"/>
  <c r="O178" i="1"/>
  <c r="Q178" i="1"/>
  <c r="Z178" i="1"/>
  <c r="G180" i="1"/>
  <c r="H122" i="1"/>
  <c r="AE178" i="1"/>
  <c r="L178" i="1"/>
  <c r="AB178" i="1"/>
  <c r="U178" i="1"/>
  <c r="N178" i="1"/>
  <c r="AD178" i="1"/>
  <c r="J22" i="1"/>
  <c r="I51" i="1"/>
  <c r="I81" i="1" s="1"/>
  <c r="I111" i="1"/>
  <c r="F101" i="1"/>
  <c r="F175" i="1"/>
  <c r="G165" i="1" s="1"/>
  <c r="G174" i="1" s="1"/>
  <c r="H37" i="1"/>
  <c r="H41" i="1" s="1"/>
  <c r="I34" i="1"/>
  <c r="X178" i="1"/>
  <c r="K178" i="1"/>
  <c r="W178" i="1"/>
  <c r="P178" i="1"/>
  <c r="I178" i="1"/>
  <c r="Y178" i="1"/>
  <c r="R178" i="1"/>
  <c r="G126" i="1"/>
  <c r="G178" i="1"/>
  <c r="H64" i="1"/>
  <c r="G155" i="1"/>
  <c r="G140" i="1"/>
  <c r="J104" i="1"/>
  <c r="I173" i="1"/>
  <c r="I194" i="1" s="1"/>
  <c r="H178" i="1"/>
  <c r="J178" i="1"/>
  <c r="J75" i="1"/>
  <c r="I159" i="1"/>
  <c r="I193" i="1" s="1"/>
  <c r="G66" i="1"/>
  <c r="G154" i="1"/>
  <c r="H63" i="1"/>
  <c r="G139" i="1"/>
  <c r="G146" i="1"/>
  <c r="H136" i="1" s="1"/>
  <c r="H145" i="1" s="1"/>
  <c r="AA178" i="1"/>
  <c r="S178" i="1"/>
  <c r="T178" i="1"/>
  <c r="M178" i="1"/>
  <c r="AC178" i="1"/>
  <c r="V178" i="1"/>
  <c r="H124" i="1"/>
  <c r="H182" i="1" s="1"/>
  <c r="H179" i="1"/>
  <c r="I121" i="1"/>
  <c r="G95" i="1"/>
  <c r="G171" i="1" s="1"/>
  <c r="H92" i="1"/>
  <c r="G168" i="1"/>
  <c r="J144" i="1"/>
  <c r="J192" i="1" s="1"/>
  <c r="K45" i="1"/>
  <c r="F133" i="1"/>
  <c r="F191" i="1" s="1"/>
  <c r="I181" i="1" l="1"/>
  <c r="J123" i="1"/>
  <c r="I65" i="1"/>
  <c r="H156" i="1"/>
  <c r="H141" i="1"/>
  <c r="I94" i="1"/>
  <c r="H170" i="1"/>
  <c r="H42" i="1"/>
  <c r="H137" i="1"/>
  <c r="G142" i="1"/>
  <c r="G157" i="1"/>
  <c r="E128" i="1"/>
  <c r="C189" i="1" s="1"/>
  <c r="G184" i="1"/>
  <c r="G195" i="1" s="1"/>
  <c r="I37" i="1"/>
  <c r="I41" i="1" s="1"/>
  <c r="J34" i="1"/>
  <c r="G71" i="1"/>
  <c r="I122" i="1"/>
  <c r="H180" i="1"/>
  <c r="H146" i="1"/>
  <c r="I136" i="1" s="1"/>
  <c r="I145" i="1" s="1"/>
  <c r="I124" i="1"/>
  <c r="I182" i="1" s="1"/>
  <c r="J121" i="1"/>
  <c r="I179" i="1"/>
  <c r="H66" i="1"/>
  <c r="H154" i="1"/>
  <c r="I63" i="1"/>
  <c r="H139" i="1"/>
  <c r="K75" i="1"/>
  <c r="J159" i="1"/>
  <c r="J193" i="1" s="1"/>
  <c r="H126" i="1"/>
  <c r="H184" i="1" s="1"/>
  <c r="H195" i="1" s="1"/>
  <c r="H155" i="1"/>
  <c r="I64" i="1"/>
  <c r="H140" i="1"/>
  <c r="H95" i="1"/>
  <c r="H171" i="1" s="1"/>
  <c r="H100" i="1"/>
  <c r="I92" i="1"/>
  <c r="H168" i="1"/>
  <c r="K22" i="1"/>
  <c r="J111" i="1"/>
  <c r="J51" i="1"/>
  <c r="J81" i="1" s="1"/>
  <c r="G100" i="1"/>
  <c r="K104" i="1"/>
  <c r="J173" i="1"/>
  <c r="J194" i="1" s="1"/>
  <c r="L45" i="1"/>
  <c r="K144" i="1"/>
  <c r="K192" i="1" s="1"/>
  <c r="G133" i="1"/>
  <c r="G191" i="1" s="1"/>
  <c r="I126" i="1" l="1"/>
  <c r="I184" i="1" s="1"/>
  <c r="I195" i="1" s="1"/>
  <c r="I141" i="1"/>
  <c r="I156" i="1"/>
  <c r="J65" i="1"/>
  <c r="I170" i="1"/>
  <c r="J94" i="1"/>
  <c r="J181" i="1"/>
  <c r="K123" i="1"/>
  <c r="G166" i="1"/>
  <c r="G175" i="1" s="1"/>
  <c r="H165" i="1" s="1"/>
  <c r="H174" i="1" s="1"/>
  <c r="G101" i="1"/>
  <c r="I95" i="1"/>
  <c r="I171" i="1" s="1"/>
  <c r="J92" i="1"/>
  <c r="I168" i="1"/>
  <c r="I66" i="1"/>
  <c r="I71" i="1" s="1"/>
  <c r="I139" i="1"/>
  <c r="J63" i="1"/>
  <c r="I154" i="1"/>
  <c r="J37" i="1"/>
  <c r="K34" i="1"/>
  <c r="J41" i="1"/>
  <c r="K173" i="1"/>
  <c r="K194" i="1" s="1"/>
  <c r="L104" i="1"/>
  <c r="G152" i="1"/>
  <c r="G161" i="1" s="1"/>
  <c r="H151" i="1" s="1"/>
  <c r="G72" i="1"/>
  <c r="H101" i="1"/>
  <c r="H166" i="1"/>
  <c r="J64" i="1"/>
  <c r="I155" i="1"/>
  <c r="I140" i="1"/>
  <c r="J124" i="1"/>
  <c r="J182" i="1" s="1"/>
  <c r="J179" i="1"/>
  <c r="K121" i="1"/>
  <c r="I42" i="1"/>
  <c r="I137" i="1"/>
  <c r="I146" i="1" s="1"/>
  <c r="J136" i="1" s="1"/>
  <c r="J145" i="1" s="1"/>
  <c r="H157" i="1"/>
  <c r="H142" i="1"/>
  <c r="L22" i="1"/>
  <c r="K51" i="1"/>
  <c r="K81" i="1" s="1"/>
  <c r="K111" i="1"/>
  <c r="K159" i="1"/>
  <c r="K193" i="1" s="1"/>
  <c r="L75" i="1"/>
  <c r="H71" i="1"/>
  <c r="J122" i="1"/>
  <c r="I180" i="1"/>
  <c r="L144" i="1"/>
  <c r="L192" i="1" s="1"/>
  <c r="M45" i="1"/>
  <c r="H133" i="1"/>
  <c r="H191" i="1" s="1"/>
  <c r="I100" i="1" l="1"/>
  <c r="K181" i="1"/>
  <c r="L123" i="1"/>
  <c r="K65" i="1"/>
  <c r="J156" i="1"/>
  <c r="J141" i="1"/>
  <c r="J170" i="1"/>
  <c r="K94" i="1"/>
  <c r="H72" i="1"/>
  <c r="H152" i="1"/>
  <c r="J66" i="1"/>
  <c r="J154" i="1"/>
  <c r="J139" i="1"/>
  <c r="K63" i="1"/>
  <c r="J126" i="1"/>
  <c r="J184" i="1" s="1"/>
  <c r="J195" i="1" s="1"/>
  <c r="K37" i="1"/>
  <c r="K41" i="1" s="1"/>
  <c r="L34" i="1"/>
  <c r="J95" i="1"/>
  <c r="J171" i="1" s="1"/>
  <c r="K92" i="1"/>
  <c r="J168" i="1"/>
  <c r="H175" i="1"/>
  <c r="I165" i="1" s="1"/>
  <c r="I174" i="1" s="1"/>
  <c r="M75" i="1"/>
  <c r="L159" i="1"/>
  <c r="L193" i="1" s="1"/>
  <c r="M22" i="1"/>
  <c r="L111" i="1"/>
  <c r="L51" i="1"/>
  <c r="L81" i="1" s="1"/>
  <c r="K124" i="1"/>
  <c r="K182" i="1" s="1"/>
  <c r="K179" i="1"/>
  <c r="L121" i="1"/>
  <c r="M104" i="1"/>
  <c r="L173" i="1"/>
  <c r="L194" i="1" s="1"/>
  <c r="I72" i="1"/>
  <c r="I152" i="1"/>
  <c r="I101" i="1"/>
  <c r="I166" i="1"/>
  <c r="J42" i="1"/>
  <c r="J137" i="1"/>
  <c r="J146" i="1" s="1"/>
  <c r="K136" i="1" s="1"/>
  <c r="K145" i="1" s="1"/>
  <c r="K122" i="1"/>
  <c r="J180" i="1"/>
  <c r="J140" i="1"/>
  <c r="K64" i="1"/>
  <c r="J155" i="1"/>
  <c r="H160" i="1"/>
  <c r="H161" i="1"/>
  <c r="I151" i="1" s="1"/>
  <c r="I157" i="1"/>
  <c r="I142" i="1"/>
  <c r="N45" i="1"/>
  <c r="M144" i="1"/>
  <c r="M192" i="1" s="1"/>
  <c r="I133" i="1"/>
  <c r="I191" i="1" s="1"/>
  <c r="K170" i="1" l="1"/>
  <c r="L94" i="1"/>
  <c r="K141" i="1"/>
  <c r="L65" i="1"/>
  <c r="K156" i="1"/>
  <c r="L181" i="1"/>
  <c r="M123" i="1"/>
  <c r="K180" i="1"/>
  <c r="L122" i="1"/>
  <c r="J157" i="1"/>
  <c r="J142" i="1"/>
  <c r="L64" i="1"/>
  <c r="K140" i="1"/>
  <c r="K155" i="1"/>
  <c r="L37" i="1"/>
  <c r="L41" i="1"/>
  <c r="M34" i="1"/>
  <c r="I160" i="1"/>
  <c r="I161" i="1" s="1"/>
  <c r="J151" i="1" s="1"/>
  <c r="N104" i="1"/>
  <c r="M173" i="1"/>
  <c r="M194" i="1" s="1"/>
  <c r="K95" i="1"/>
  <c r="K171" i="1" s="1"/>
  <c r="K168" i="1"/>
  <c r="L92" i="1"/>
  <c r="K137" i="1"/>
  <c r="K146" i="1" s="1"/>
  <c r="L136" i="1" s="1"/>
  <c r="L145" i="1" s="1"/>
  <c r="K42" i="1"/>
  <c r="L124" i="1"/>
  <c r="L182" i="1" s="1"/>
  <c r="M121" i="1"/>
  <c r="L179" i="1"/>
  <c r="I175" i="1"/>
  <c r="J165" i="1" s="1"/>
  <c r="J174" i="1" s="1"/>
  <c r="K66" i="1"/>
  <c r="K71" i="1" s="1"/>
  <c r="K139" i="1"/>
  <c r="L63" i="1"/>
  <c r="K154" i="1"/>
  <c r="K126" i="1"/>
  <c r="K184" i="1" s="1"/>
  <c r="K195" i="1" s="1"/>
  <c r="N22" i="1"/>
  <c r="M51" i="1"/>
  <c r="M81" i="1" s="1"/>
  <c r="M111" i="1"/>
  <c r="N75" i="1"/>
  <c r="M159" i="1"/>
  <c r="M193" i="1" s="1"/>
  <c r="J100" i="1"/>
  <c r="J71" i="1"/>
  <c r="N144" i="1"/>
  <c r="N192" i="1" s="1"/>
  <c r="O45" i="1"/>
  <c r="J133" i="1"/>
  <c r="J191" i="1" s="1"/>
  <c r="M65" i="1" l="1"/>
  <c r="L156" i="1"/>
  <c r="L141" i="1"/>
  <c r="N123" i="1"/>
  <c r="M181" i="1"/>
  <c r="L170" i="1"/>
  <c r="M94" i="1"/>
  <c r="L126" i="1"/>
  <c r="L184" i="1" s="1"/>
  <c r="L195" i="1" s="1"/>
  <c r="K72" i="1"/>
  <c r="K152" i="1"/>
  <c r="O22" i="1"/>
  <c r="N111" i="1"/>
  <c r="N51" i="1"/>
  <c r="N81" i="1" s="1"/>
  <c r="L95" i="1"/>
  <c r="L171" i="1" s="1"/>
  <c r="L100" i="1"/>
  <c r="L168" i="1"/>
  <c r="M92" i="1"/>
  <c r="O75" i="1"/>
  <c r="N159" i="1"/>
  <c r="N193" i="1" s="1"/>
  <c r="K100" i="1"/>
  <c r="M37" i="1"/>
  <c r="M41" i="1" s="1"/>
  <c r="N34" i="1"/>
  <c r="M122" i="1"/>
  <c r="L180" i="1"/>
  <c r="J160" i="1"/>
  <c r="J101" i="1"/>
  <c r="J166" i="1"/>
  <c r="J175" i="1" s="1"/>
  <c r="K165" i="1" s="1"/>
  <c r="K142" i="1"/>
  <c r="K157" i="1"/>
  <c r="O104" i="1"/>
  <c r="N173" i="1"/>
  <c r="N194" i="1" s="1"/>
  <c r="L137" i="1"/>
  <c r="L146" i="1" s="1"/>
  <c r="M136" i="1" s="1"/>
  <c r="M145" i="1" s="1"/>
  <c r="L42" i="1"/>
  <c r="L155" i="1"/>
  <c r="L140" i="1"/>
  <c r="M64" i="1"/>
  <c r="M124" i="1"/>
  <c r="M182" i="1" s="1"/>
  <c r="M179" i="1"/>
  <c r="N121" i="1"/>
  <c r="J72" i="1"/>
  <c r="J152" i="1"/>
  <c r="J161" i="1" s="1"/>
  <c r="K151" i="1" s="1"/>
  <c r="L66" i="1"/>
  <c r="L71" i="1" s="1"/>
  <c r="L154" i="1"/>
  <c r="M63" i="1"/>
  <c r="L139" i="1"/>
  <c r="P45" i="1"/>
  <c r="O144" i="1"/>
  <c r="O192" i="1" s="1"/>
  <c r="K133" i="1"/>
  <c r="K191" i="1" s="1"/>
  <c r="N181" i="1" l="1"/>
  <c r="O123" i="1"/>
  <c r="N94" i="1"/>
  <c r="M170" i="1"/>
  <c r="M156" i="1"/>
  <c r="N65" i="1"/>
  <c r="M141" i="1"/>
  <c r="K174" i="1"/>
  <c r="M42" i="1"/>
  <c r="M137" i="1"/>
  <c r="M146" i="1" s="1"/>
  <c r="N136" i="1" s="1"/>
  <c r="N145" i="1" s="1"/>
  <c r="K160" i="1"/>
  <c r="K161" i="1"/>
  <c r="L151" i="1" s="1"/>
  <c r="M66" i="1"/>
  <c r="M71" i="1"/>
  <c r="M154" i="1"/>
  <c r="N63" i="1"/>
  <c r="M139" i="1"/>
  <c r="N37" i="1"/>
  <c r="N41" i="1" s="1"/>
  <c r="O34" i="1"/>
  <c r="P22" i="1"/>
  <c r="O51" i="1"/>
  <c r="O81" i="1" s="1"/>
  <c r="O111" i="1"/>
  <c r="P104" i="1"/>
  <c r="O173" i="1"/>
  <c r="O194" i="1" s="1"/>
  <c r="L72" i="1"/>
  <c r="L152" i="1"/>
  <c r="M126" i="1"/>
  <c r="M184" i="1" s="1"/>
  <c r="M195" i="1" s="1"/>
  <c r="N64" i="1"/>
  <c r="M155" i="1"/>
  <c r="M140" i="1"/>
  <c r="M180" i="1"/>
  <c r="N122" i="1"/>
  <c r="K101" i="1"/>
  <c r="K166" i="1"/>
  <c r="M95" i="1"/>
  <c r="M171" i="1" s="1"/>
  <c r="M168" i="1"/>
  <c r="N92" i="1"/>
  <c r="P144" i="1"/>
  <c r="P192" i="1" s="1"/>
  <c r="F46" i="1"/>
  <c r="L101" i="1"/>
  <c r="L166" i="1"/>
  <c r="L157" i="1"/>
  <c r="L142" i="1"/>
  <c r="N124" i="1"/>
  <c r="N182" i="1" s="1"/>
  <c r="O121" i="1"/>
  <c r="N179" i="1"/>
  <c r="O159" i="1"/>
  <c r="O193" i="1" s="1"/>
  <c r="P75" i="1"/>
  <c r="L133" i="1"/>
  <c r="L191" i="1" s="1"/>
  <c r="O94" i="1" l="1"/>
  <c r="N170" i="1"/>
  <c r="K175" i="1"/>
  <c r="L165" i="1" s="1"/>
  <c r="L174" i="1" s="1"/>
  <c r="L175" i="1" s="1"/>
  <c r="M165" i="1" s="1"/>
  <c r="M174" i="1" s="1"/>
  <c r="N141" i="1"/>
  <c r="N156" i="1"/>
  <c r="O65" i="1"/>
  <c r="P123" i="1"/>
  <c r="O181" i="1"/>
  <c r="N137" i="1"/>
  <c r="N146" i="1" s="1"/>
  <c r="O136" i="1" s="1"/>
  <c r="O145" i="1" s="1"/>
  <c r="N42" i="1"/>
  <c r="O124" i="1"/>
  <c r="O182" i="1" s="1"/>
  <c r="O179" i="1"/>
  <c r="P121" i="1"/>
  <c r="Q75" i="1"/>
  <c r="P159" i="1"/>
  <c r="P193" i="1" s="1"/>
  <c r="N126" i="1"/>
  <c r="N184" i="1" s="1"/>
  <c r="N195" i="1" s="1"/>
  <c r="Q104" i="1"/>
  <c r="P173" i="1"/>
  <c r="P194" i="1" s="1"/>
  <c r="O37" i="1"/>
  <c r="O41" i="1" s="1"/>
  <c r="P34" i="1"/>
  <c r="N66" i="1"/>
  <c r="N71" i="1" s="1"/>
  <c r="N154" i="1"/>
  <c r="O63" i="1"/>
  <c r="N139" i="1"/>
  <c r="L160" i="1"/>
  <c r="L161" i="1" s="1"/>
  <c r="M151" i="1" s="1"/>
  <c r="M160" i="1" s="1"/>
  <c r="M72" i="1"/>
  <c r="M152" i="1"/>
  <c r="N95" i="1"/>
  <c r="N171" i="1" s="1"/>
  <c r="N100" i="1"/>
  <c r="O92" i="1"/>
  <c r="N168" i="1"/>
  <c r="Q22" i="1"/>
  <c r="P111" i="1"/>
  <c r="P51" i="1"/>
  <c r="P81" i="1" s="1"/>
  <c r="M142" i="1"/>
  <c r="M157" i="1"/>
  <c r="M100" i="1"/>
  <c r="O122" i="1"/>
  <c r="O126" i="1" s="1"/>
  <c r="O184" i="1" s="1"/>
  <c r="O195" i="1" s="1"/>
  <c r="N180" i="1"/>
  <c r="O64" i="1"/>
  <c r="N140" i="1"/>
  <c r="N155" i="1"/>
  <c r="M133" i="1"/>
  <c r="M191" i="1" s="1"/>
  <c r="M161" i="1" l="1"/>
  <c r="N151" i="1" s="1"/>
  <c r="N160" i="1" s="1"/>
  <c r="O156" i="1"/>
  <c r="O141" i="1"/>
  <c r="P65" i="1"/>
  <c r="O170" i="1"/>
  <c r="P94" i="1"/>
  <c r="P181" i="1"/>
  <c r="Q123" i="1"/>
  <c r="O42" i="1"/>
  <c r="O137" i="1"/>
  <c r="O95" i="1"/>
  <c r="O171" i="1" s="1"/>
  <c r="O168" i="1"/>
  <c r="P92" i="1"/>
  <c r="N157" i="1"/>
  <c r="N142" i="1"/>
  <c r="O146" i="1"/>
  <c r="P136" i="1" s="1"/>
  <c r="P145" i="1" s="1"/>
  <c r="P122" i="1"/>
  <c r="O180" i="1"/>
  <c r="N101" i="1"/>
  <c r="N166" i="1"/>
  <c r="O66" i="1"/>
  <c r="O71" i="1" s="1"/>
  <c r="O139" i="1"/>
  <c r="P63" i="1"/>
  <c r="O154" i="1"/>
  <c r="P64" i="1"/>
  <c r="O155" i="1"/>
  <c r="O140" i="1"/>
  <c r="N72" i="1"/>
  <c r="N152" i="1"/>
  <c r="N161" i="1" s="1"/>
  <c r="O151" i="1" s="1"/>
  <c r="P124" i="1"/>
  <c r="P182" i="1" s="1"/>
  <c r="P179" i="1"/>
  <c r="Q121" i="1"/>
  <c r="M101" i="1"/>
  <c r="M166" i="1"/>
  <c r="M175" i="1" s="1"/>
  <c r="N165" i="1" s="1"/>
  <c r="R22" i="1"/>
  <c r="Q51" i="1"/>
  <c r="Q81" i="1" s="1"/>
  <c r="Q111" i="1"/>
  <c r="P37" i="1"/>
  <c r="P41" i="1" s="1"/>
  <c r="F43" i="1" s="1"/>
  <c r="R104" i="1"/>
  <c r="Q173" i="1"/>
  <c r="Q194" i="1" s="1"/>
  <c r="R75" i="1"/>
  <c r="Q159" i="1"/>
  <c r="Q193" i="1" s="1"/>
  <c r="N133" i="1"/>
  <c r="N191" i="1" s="1"/>
  <c r="R123" i="1" l="1"/>
  <c r="Q181" i="1"/>
  <c r="Q65" i="1"/>
  <c r="P156" i="1"/>
  <c r="P141" i="1"/>
  <c r="P170" i="1"/>
  <c r="Q94" i="1"/>
  <c r="O160" i="1"/>
  <c r="P155" i="1"/>
  <c r="Q64" i="1"/>
  <c r="P140" i="1"/>
  <c r="S104" i="1"/>
  <c r="R173" i="1"/>
  <c r="R194" i="1" s="1"/>
  <c r="O142" i="1"/>
  <c r="O157" i="1"/>
  <c r="P180" i="1"/>
  <c r="Q122" i="1"/>
  <c r="O100" i="1"/>
  <c r="S75" i="1"/>
  <c r="R159" i="1"/>
  <c r="R193" i="1" s="1"/>
  <c r="P137" i="1"/>
  <c r="P146" i="1" s="1"/>
  <c r="Q136" i="1" s="1"/>
  <c r="Q145" i="1" s="1"/>
  <c r="Q146" i="1" s="1"/>
  <c r="R136" i="1" s="1"/>
  <c r="R145" i="1" s="1"/>
  <c r="R146" i="1" s="1"/>
  <c r="S136" i="1" s="1"/>
  <c r="P42" i="1"/>
  <c r="S22" i="1"/>
  <c r="R111" i="1"/>
  <c r="R51" i="1"/>
  <c r="R81" i="1" s="1"/>
  <c r="Q42" i="1"/>
  <c r="P126" i="1"/>
  <c r="P184" i="1" s="1"/>
  <c r="P195" i="1" s="1"/>
  <c r="P66" i="1"/>
  <c r="P154" i="1"/>
  <c r="P139" i="1"/>
  <c r="Q63" i="1"/>
  <c r="P95" i="1"/>
  <c r="P171" i="1" s="1"/>
  <c r="Q92" i="1"/>
  <c r="P168" i="1"/>
  <c r="N174" i="1"/>
  <c r="N175" i="1" s="1"/>
  <c r="O165" i="1" s="1"/>
  <c r="O72" i="1"/>
  <c r="O152" i="1"/>
  <c r="F47" i="1"/>
  <c r="Q124" i="1"/>
  <c r="Q182" i="1" s="1"/>
  <c r="Q179" i="1"/>
  <c r="R121" i="1"/>
  <c r="O133" i="1"/>
  <c r="O191" i="1" s="1"/>
  <c r="R94" i="1" l="1"/>
  <c r="Q170" i="1"/>
  <c r="Q141" i="1"/>
  <c r="Q156" i="1"/>
  <c r="R65" i="1"/>
  <c r="O161" i="1"/>
  <c r="P151" i="1" s="1"/>
  <c r="Q126" i="1"/>
  <c r="Q184" i="1" s="1"/>
  <c r="Q195" i="1" s="1"/>
  <c r="S123" i="1"/>
  <c r="R181" i="1"/>
  <c r="P160" i="1"/>
  <c r="P157" i="1"/>
  <c r="P142" i="1"/>
  <c r="S159" i="1"/>
  <c r="S193" i="1" s="1"/>
  <c r="T75" i="1"/>
  <c r="Q95" i="1"/>
  <c r="Q171" i="1" s="1"/>
  <c r="Q168" i="1"/>
  <c r="R92" i="1"/>
  <c r="P100" i="1"/>
  <c r="S173" i="1"/>
  <c r="S194" i="1" s="1"/>
  <c r="T104" i="1"/>
  <c r="O174" i="1"/>
  <c r="Q66" i="1"/>
  <c r="Q71" i="1" s="1"/>
  <c r="Q154" i="1"/>
  <c r="Q139" i="1"/>
  <c r="R63" i="1"/>
  <c r="R122" i="1"/>
  <c r="Q180" i="1"/>
  <c r="R64" i="1"/>
  <c r="Q155" i="1"/>
  <c r="Q140" i="1"/>
  <c r="R124" i="1"/>
  <c r="R182" i="1" s="1"/>
  <c r="R179" i="1"/>
  <c r="S121" i="1"/>
  <c r="P71" i="1"/>
  <c r="T22" i="1"/>
  <c r="S51" i="1"/>
  <c r="S81" i="1" s="1"/>
  <c r="S111" i="1"/>
  <c r="R42" i="1"/>
  <c r="O101" i="1"/>
  <c r="O166" i="1"/>
  <c r="S145" i="1"/>
  <c r="S146" i="1" s="1"/>
  <c r="T136" i="1" s="1"/>
  <c r="P133" i="1"/>
  <c r="P191" i="1" s="1"/>
  <c r="T123" i="1" l="1"/>
  <c r="S181" i="1"/>
  <c r="O175" i="1"/>
  <c r="P165" i="1" s="1"/>
  <c r="P174" i="1" s="1"/>
  <c r="R141" i="1"/>
  <c r="R156" i="1"/>
  <c r="S65" i="1"/>
  <c r="S94" i="1"/>
  <c r="R170" i="1"/>
  <c r="P72" i="1"/>
  <c r="P152" i="1"/>
  <c r="P161" i="1" s="1"/>
  <c r="Q151" i="1" s="1"/>
  <c r="Q160" i="1" s="1"/>
  <c r="P101" i="1"/>
  <c r="P166" i="1"/>
  <c r="R95" i="1"/>
  <c r="R171" i="1" s="1"/>
  <c r="S92" i="1"/>
  <c r="R168" i="1"/>
  <c r="R126" i="1"/>
  <c r="R184" i="1" s="1"/>
  <c r="R195" i="1" s="1"/>
  <c r="R180" i="1"/>
  <c r="S122" i="1"/>
  <c r="Q72" i="1"/>
  <c r="Q152" i="1"/>
  <c r="U75" i="1"/>
  <c r="T159" i="1"/>
  <c r="T193" i="1" s="1"/>
  <c r="S124" i="1"/>
  <c r="S182" i="1" s="1"/>
  <c r="S179" i="1"/>
  <c r="T121" i="1"/>
  <c r="R66" i="1"/>
  <c r="R71" i="1" s="1"/>
  <c r="R154" i="1"/>
  <c r="R139" i="1"/>
  <c r="S63" i="1"/>
  <c r="Q142" i="1"/>
  <c r="Q157" i="1"/>
  <c r="U104" i="1"/>
  <c r="T173" i="1"/>
  <c r="T194" i="1" s="1"/>
  <c r="Q100" i="1"/>
  <c r="U22" i="1"/>
  <c r="T111" i="1"/>
  <c r="T51" i="1"/>
  <c r="T81" i="1" s="1"/>
  <c r="S42" i="1"/>
  <c r="R155" i="1"/>
  <c r="S64" i="1"/>
  <c r="R140" i="1"/>
  <c r="T145" i="1"/>
  <c r="T146" i="1" s="1"/>
  <c r="U136" i="1" s="1"/>
  <c r="Q133" i="1"/>
  <c r="Q191" i="1" s="1"/>
  <c r="S126" i="1" l="1"/>
  <c r="S184" i="1" s="1"/>
  <c r="S195" i="1" s="1"/>
  <c r="S170" i="1"/>
  <c r="T94" i="1"/>
  <c r="S141" i="1"/>
  <c r="S156" i="1"/>
  <c r="T65" i="1"/>
  <c r="R100" i="1"/>
  <c r="P175" i="1"/>
  <c r="Q165" i="1" s="1"/>
  <c r="Q174" i="1" s="1"/>
  <c r="T181" i="1"/>
  <c r="U123" i="1"/>
  <c r="R72" i="1"/>
  <c r="R152" i="1"/>
  <c r="V104" i="1"/>
  <c r="U173" i="1"/>
  <c r="U194" i="1" s="1"/>
  <c r="T124" i="1"/>
  <c r="T182" i="1" s="1"/>
  <c r="U121" i="1"/>
  <c r="T179" i="1"/>
  <c r="V75" i="1"/>
  <c r="U159" i="1"/>
  <c r="U193" i="1" s="1"/>
  <c r="V22" i="1"/>
  <c r="U51" i="1"/>
  <c r="U81" i="1" s="1"/>
  <c r="U111" i="1"/>
  <c r="T42" i="1"/>
  <c r="T122" i="1"/>
  <c r="S180" i="1"/>
  <c r="S95" i="1"/>
  <c r="S171" i="1" s="1"/>
  <c r="S168" i="1"/>
  <c r="T92" i="1"/>
  <c r="Q101" i="1"/>
  <c r="Q166" i="1"/>
  <c r="R101" i="1"/>
  <c r="R166" i="1"/>
  <c r="T64" i="1"/>
  <c r="S155" i="1"/>
  <c r="S140" i="1"/>
  <c r="S66" i="1"/>
  <c r="S71" i="1" s="1"/>
  <c r="S139" i="1"/>
  <c r="S154" i="1"/>
  <c r="T63" i="1"/>
  <c r="R142" i="1"/>
  <c r="R157" i="1"/>
  <c r="Q161" i="1"/>
  <c r="R151" i="1" s="1"/>
  <c r="R160" i="1" s="1"/>
  <c r="U145" i="1"/>
  <c r="U146" i="1" s="1"/>
  <c r="V136" i="1" s="1"/>
  <c r="R133" i="1"/>
  <c r="R191" i="1" s="1"/>
  <c r="Q175" i="1" l="1"/>
  <c r="R165" i="1" s="1"/>
  <c r="U94" i="1"/>
  <c r="T170" i="1"/>
  <c r="U181" i="1"/>
  <c r="V123" i="1"/>
  <c r="T141" i="1"/>
  <c r="T156" i="1"/>
  <c r="U65" i="1"/>
  <c r="R174" i="1"/>
  <c r="R175" i="1" s="1"/>
  <c r="S165" i="1" s="1"/>
  <c r="W75" i="1"/>
  <c r="V159" i="1"/>
  <c r="V193" i="1" s="1"/>
  <c r="S72" i="1"/>
  <c r="S152" i="1"/>
  <c r="T155" i="1"/>
  <c r="U64" i="1"/>
  <c r="T140" i="1"/>
  <c r="T180" i="1"/>
  <c r="U122" i="1"/>
  <c r="T126" i="1"/>
  <c r="T184" i="1" s="1"/>
  <c r="T195" i="1" s="1"/>
  <c r="R161" i="1"/>
  <c r="S151" i="1" s="1"/>
  <c r="T66" i="1"/>
  <c r="T71" i="1" s="1"/>
  <c r="U63" i="1"/>
  <c r="T154" i="1"/>
  <c r="T139" i="1"/>
  <c r="S157" i="1"/>
  <c r="S142" i="1"/>
  <c r="S100" i="1"/>
  <c r="T95" i="1"/>
  <c r="T171" i="1" s="1"/>
  <c r="T168" i="1"/>
  <c r="U92" i="1"/>
  <c r="W22" i="1"/>
  <c r="V111" i="1"/>
  <c r="V51" i="1"/>
  <c r="V81" i="1" s="1"/>
  <c r="U42" i="1"/>
  <c r="U124" i="1"/>
  <c r="U182" i="1" s="1"/>
  <c r="U179" i="1"/>
  <c r="V121" i="1"/>
  <c r="W104" i="1"/>
  <c r="V173" i="1"/>
  <c r="V194" i="1" s="1"/>
  <c r="V145" i="1"/>
  <c r="V146" i="1" s="1"/>
  <c r="W136" i="1" s="1"/>
  <c r="S133" i="1"/>
  <c r="S191" i="1" s="1"/>
  <c r="T100" i="1" l="1"/>
  <c r="U156" i="1"/>
  <c r="U141" i="1"/>
  <c r="V65" i="1"/>
  <c r="V181" i="1"/>
  <c r="W123" i="1"/>
  <c r="V94" i="1"/>
  <c r="U170" i="1"/>
  <c r="S174" i="1"/>
  <c r="V124" i="1"/>
  <c r="V182" i="1" s="1"/>
  <c r="W121" i="1"/>
  <c r="V179" i="1"/>
  <c r="U66" i="1"/>
  <c r="U71" i="1" s="1"/>
  <c r="U154" i="1"/>
  <c r="V63" i="1"/>
  <c r="U139" i="1"/>
  <c r="V122" i="1"/>
  <c r="U180" i="1"/>
  <c r="T101" i="1"/>
  <c r="T166" i="1"/>
  <c r="T72" i="1"/>
  <c r="T152" i="1"/>
  <c r="X75" i="1"/>
  <c r="W159" i="1"/>
  <c r="W193" i="1" s="1"/>
  <c r="X104" i="1"/>
  <c r="W173" i="1"/>
  <c r="W194" i="1" s="1"/>
  <c r="X22" i="1"/>
  <c r="W51" i="1"/>
  <c r="W81" i="1" s="1"/>
  <c r="V42" i="1"/>
  <c r="W111" i="1"/>
  <c r="T157" i="1"/>
  <c r="T142" i="1"/>
  <c r="S160" i="1"/>
  <c r="S161" i="1" s="1"/>
  <c r="T151" i="1" s="1"/>
  <c r="U126" i="1"/>
  <c r="U184" i="1" s="1"/>
  <c r="U195" i="1" s="1"/>
  <c r="U95" i="1"/>
  <c r="U171" i="1" s="1"/>
  <c r="U168" i="1"/>
  <c r="V92" i="1"/>
  <c r="S101" i="1"/>
  <c r="S166" i="1"/>
  <c r="V64" i="1"/>
  <c r="U155" i="1"/>
  <c r="U140" i="1"/>
  <c r="W145" i="1"/>
  <c r="W146" i="1" s="1"/>
  <c r="X136" i="1" s="1"/>
  <c r="T133" i="1"/>
  <c r="T191" i="1" s="1"/>
  <c r="W65" i="1" l="1"/>
  <c r="V141" i="1"/>
  <c r="V156" i="1"/>
  <c r="V170" i="1"/>
  <c r="W94" i="1"/>
  <c r="S175" i="1"/>
  <c r="T165" i="1" s="1"/>
  <c r="T174" i="1" s="1"/>
  <c r="U100" i="1"/>
  <c r="W181" i="1"/>
  <c r="X123" i="1"/>
  <c r="V95" i="1"/>
  <c r="V171" i="1" s="1"/>
  <c r="V168" i="1"/>
  <c r="W92" i="1"/>
  <c r="Y22" i="1"/>
  <c r="W42" i="1"/>
  <c r="X111" i="1"/>
  <c r="X51" i="1"/>
  <c r="X81" i="1" s="1"/>
  <c r="Y75" i="1"/>
  <c r="X159" i="1"/>
  <c r="X193" i="1" s="1"/>
  <c r="V66" i="1"/>
  <c r="V71" i="1" s="1"/>
  <c r="V154" i="1"/>
  <c r="V139" i="1"/>
  <c r="W63" i="1"/>
  <c r="Y104" i="1"/>
  <c r="X173" i="1"/>
  <c r="X194" i="1" s="1"/>
  <c r="W64" i="1"/>
  <c r="V140" i="1"/>
  <c r="V155" i="1"/>
  <c r="U101" i="1"/>
  <c r="U166" i="1"/>
  <c r="V180" i="1"/>
  <c r="W122" i="1"/>
  <c r="U72" i="1"/>
  <c r="U152" i="1"/>
  <c r="V126" i="1"/>
  <c r="V184" i="1" s="1"/>
  <c r="V195" i="1" s="1"/>
  <c r="W124" i="1"/>
  <c r="W182" i="1" s="1"/>
  <c r="X121" i="1"/>
  <c r="W179" i="1"/>
  <c r="T160" i="1"/>
  <c r="T161" i="1" s="1"/>
  <c r="U151" i="1" s="1"/>
  <c r="U160" i="1" s="1"/>
  <c r="U161" i="1" s="1"/>
  <c r="V151" i="1" s="1"/>
  <c r="V160" i="1" s="1"/>
  <c r="U142" i="1"/>
  <c r="U157" i="1"/>
  <c r="X145" i="1"/>
  <c r="X146" i="1" s="1"/>
  <c r="Y136" i="1" s="1"/>
  <c r="U133" i="1"/>
  <c r="U191" i="1" s="1"/>
  <c r="T175" i="1" l="1"/>
  <c r="U165" i="1" s="1"/>
  <c r="V100" i="1"/>
  <c r="X181" i="1"/>
  <c r="Y123" i="1"/>
  <c r="X94" i="1"/>
  <c r="W170" i="1"/>
  <c r="W141" i="1"/>
  <c r="X65" i="1"/>
  <c r="W156" i="1"/>
  <c r="X122" i="1"/>
  <c r="W180" i="1"/>
  <c r="V72" i="1"/>
  <c r="V152" i="1"/>
  <c r="V161" i="1" s="1"/>
  <c r="W151" i="1" s="1"/>
  <c r="W160" i="1" s="1"/>
  <c r="Z75" i="1"/>
  <c r="Y159" i="1"/>
  <c r="Y193" i="1" s="1"/>
  <c r="Z22" i="1"/>
  <c r="Y51" i="1"/>
  <c r="Y81" i="1" s="1"/>
  <c r="X42" i="1"/>
  <c r="Y111" i="1"/>
  <c r="W66" i="1"/>
  <c r="W71" i="1" s="1"/>
  <c r="W154" i="1"/>
  <c r="W139" i="1"/>
  <c r="X63" i="1"/>
  <c r="V157" i="1"/>
  <c r="V142" i="1"/>
  <c r="W95" i="1"/>
  <c r="W171" i="1" s="1"/>
  <c r="W168" i="1"/>
  <c r="X92" i="1"/>
  <c r="U174" i="1"/>
  <c r="U175" i="1" s="1"/>
  <c r="V165" i="1" s="1"/>
  <c r="V174" i="1" s="1"/>
  <c r="V175" i="1" s="1"/>
  <c r="W165" i="1" s="1"/>
  <c r="W174" i="1" s="1"/>
  <c r="X64" i="1"/>
  <c r="W155" i="1"/>
  <c r="W140" i="1"/>
  <c r="V101" i="1"/>
  <c r="V166" i="1"/>
  <c r="W126" i="1"/>
  <c r="W184" i="1" s="1"/>
  <c r="W195" i="1" s="1"/>
  <c r="Z104" i="1"/>
  <c r="Y173" i="1"/>
  <c r="Y194" i="1" s="1"/>
  <c r="X124" i="1"/>
  <c r="X182" i="1" s="1"/>
  <c r="Y121" i="1"/>
  <c r="X179" i="1"/>
  <c r="Y145" i="1"/>
  <c r="Y146" i="1" s="1"/>
  <c r="Z136" i="1" s="1"/>
  <c r="V133" i="1"/>
  <c r="V191" i="1" s="1"/>
  <c r="X170" i="1" l="1"/>
  <c r="Y94" i="1"/>
  <c r="X141" i="1"/>
  <c r="Y65" i="1"/>
  <c r="X156" i="1"/>
  <c r="Z123" i="1"/>
  <c r="Y181" i="1"/>
  <c r="Y124" i="1"/>
  <c r="Y182" i="1" s="1"/>
  <c r="Z121" i="1"/>
  <c r="Y179" i="1"/>
  <c r="W100" i="1"/>
  <c r="Y64" i="1"/>
  <c r="X155" i="1"/>
  <c r="X140" i="1"/>
  <c r="X95" i="1"/>
  <c r="X171" i="1" s="1"/>
  <c r="X168" i="1"/>
  <c r="Y92" i="1"/>
  <c r="W72" i="1"/>
  <c r="W152" i="1"/>
  <c r="W161" i="1" s="1"/>
  <c r="X151" i="1" s="1"/>
  <c r="X160" i="1" s="1"/>
  <c r="AA75" i="1"/>
  <c r="Z159" i="1"/>
  <c r="Z193" i="1" s="1"/>
  <c r="Y122" i="1"/>
  <c r="X180" i="1"/>
  <c r="AA104" i="1"/>
  <c r="Z173" i="1"/>
  <c r="Z194" i="1" s="1"/>
  <c r="X126" i="1"/>
  <c r="X184" i="1" s="1"/>
  <c r="X195" i="1" s="1"/>
  <c r="X66" i="1"/>
  <c r="X71" i="1" s="1"/>
  <c r="Y63" i="1"/>
  <c r="X154" i="1"/>
  <c r="X139" i="1"/>
  <c r="W157" i="1"/>
  <c r="W142" i="1"/>
  <c r="AA22" i="1"/>
  <c r="Y42" i="1"/>
  <c r="Z111" i="1"/>
  <c r="Z51" i="1"/>
  <c r="Z81" i="1" s="1"/>
  <c r="Z145" i="1"/>
  <c r="Z146" i="1" s="1"/>
  <c r="AA136" i="1" s="1"/>
  <c r="W133" i="1"/>
  <c r="W191" i="1" s="1"/>
  <c r="AA123" i="1" l="1"/>
  <c r="Z181" i="1"/>
  <c r="Z94" i="1"/>
  <c r="Y170" i="1"/>
  <c r="Y156" i="1"/>
  <c r="Y141" i="1"/>
  <c r="Z65" i="1"/>
  <c r="X72" i="1"/>
  <c r="X152" i="1"/>
  <c r="X161" i="1" s="1"/>
  <c r="Y151" i="1" s="1"/>
  <c r="Y160" i="1" s="1"/>
  <c r="Z124" i="1"/>
  <c r="Z182" i="1" s="1"/>
  <c r="Z179" i="1"/>
  <c r="AA121" i="1"/>
  <c r="X142" i="1"/>
  <c r="X157" i="1"/>
  <c r="AB104" i="1"/>
  <c r="AA173" i="1"/>
  <c r="AA194" i="1" s="1"/>
  <c r="Y95" i="1"/>
  <c r="Y171" i="1" s="1"/>
  <c r="Z92" i="1"/>
  <c r="Y168" i="1"/>
  <c r="AB22" i="1"/>
  <c r="AA51" i="1"/>
  <c r="AA81" i="1" s="1"/>
  <c r="Z42" i="1"/>
  <c r="AA111" i="1"/>
  <c r="AB75" i="1"/>
  <c r="AA159" i="1"/>
  <c r="AA193" i="1" s="1"/>
  <c r="W101" i="1"/>
  <c r="W166" i="1"/>
  <c r="W175" i="1" s="1"/>
  <c r="X165" i="1" s="1"/>
  <c r="Y126" i="1"/>
  <c r="Y184" i="1" s="1"/>
  <c r="Y195" i="1" s="1"/>
  <c r="Y66" i="1"/>
  <c r="Y154" i="1"/>
  <c r="Y139" i="1"/>
  <c r="Z63" i="1"/>
  <c r="Z122" i="1"/>
  <c r="Z126" i="1" s="1"/>
  <c r="Z184" i="1" s="1"/>
  <c r="Z195" i="1" s="1"/>
  <c r="Y180" i="1"/>
  <c r="X100" i="1"/>
  <c r="Z64" i="1"/>
  <c r="Y140" i="1"/>
  <c r="Y155" i="1"/>
  <c r="AA145" i="1"/>
  <c r="AA146" i="1" s="1"/>
  <c r="AB136" i="1" s="1"/>
  <c r="X133" i="1"/>
  <c r="X191" i="1" s="1"/>
  <c r="Y100" i="1" l="1"/>
  <c r="Z141" i="1"/>
  <c r="Z156" i="1"/>
  <c r="AA65" i="1"/>
  <c r="Z170" i="1"/>
  <c r="AA94" i="1"/>
  <c r="AA181" i="1"/>
  <c r="AB123" i="1"/>
  <c r="AA64" i="1"/>
  <c r="Z140" i="1"/>
  <c r="Z155" i="1"/>
  <c r="Z66" i="1"/>
  <c r="Z71" i="1" s="1"/>
  <c r="Z154" i="1"/>
  <c r="Z139" i="1"/>
  <c r="AA63" i="1"/>
  <c r="Y157" i="1"/>
  <c r="Y142" i="1"/>
  <c r="Z95" i="1"/>
  <c r="Z171" i="1" s="1"/>
  <c r="AA92" i="1"/>
  <c r="Z168" i="1"/>
  <c r="X101" i="1"/>
  <c r="X166" i="1"/>
  <c r="Y101" i="1"/>
  <c r="Y166" i="1"/>
  <c r="AC104" i="1"/>
  <c r="AB173" i="1"/>
  <c r="AB194" i="1" s="1"/>
  <c r="AA124" i="1"/>
  <c r="AA182" i="1" s="1"/>
  <c r="AB121" i="1"/>
  <c r="AA179" i="1"/>
  <c r="X174" i="1"/>
  <c r="X175" i="1" s="1"/>
  <c r="Y165" i="1" s="1"/>
  <c r="AC75" i="1"/>
  <c r="AB159" i="1"/>
  <c r="AB193" i="1" s="1"/>
  <c r="AC22" i="1"/>
  <c r="AA42" i="1"/>
  <c r="AB111" i="1"/>
  <c r="AB51" i="1"/>
  <c r="AB81" i="1" s="1"/>
  <c r="AA122" i="1"/>
  <c r="Z180" i="1"/>
  <c r="Y71" i="1"/>
  <c r="AB145" i="1"/>
  <c r="AB146" i="1" s="1"/>
  <c r="AC136" i="1" s="1"/>
  <c r="Y133" i="1"/>
  <c r="Y191" i="1" s="1"/>
  <c r="AC123" i="1" l="1"/>
  <c r="AB181" i="1"/>
  <c r="AA156" i="1"/>
  <c r="AA141" i="1"/>
  <c r="AB65" i="1"/>
  <c r="AA170" i="1"/>
  <c r="AB94" i="1"/>
  <c r="Y174" i="1"/>
  <c r="Y175" i="1" s="1"/>
  <c r="Z165" i="1" s="1"/>
  <c r="AD22" i="1"/>
  <c r="AC51" i="1"/>
  <c r="AC81" i="1" s="1"/>
  <c r="AB42" i="1"/>
  <c r="AC111" i="1"/>
  <c r="AB124" i="1"/>
  <c r="AB182" i="1" s="1"/>
  <c r="AB179" i="1"/>
  <c r="AC121" i="1"/>
  <c r="AD104" i="1"/>
  <c r="AC173" i="1"/>
  <c r="AC194" i="1" s="1"/>
  <c r="AB122" i="1"/>
  <c r="AA180" i="1"/>
  <c r="AA126" i="1"/>
  <c r="AA184" i="1" s="1"/>
  <c r="AA195" i="1" s="1"/>
  <c r="AA95" i="1"/>
  <c r="AA171" i="1" s="1"/>
  <c r="AA168" i="1"/>
  <c r="AB92" i="1"/>
  <c r="Z72" i="1"/>
  <c r="Z152" i="1"/>
  <c r="AB64" i="1"/>
  <c r="AA140" i="1"/>
  <c r="AA155" i="1"/>
  <c r="Y72" i="1"/>
  <c r="Y152" i="1"/>
  <c r="Y161" i="1" s="1"/>
  <c r="Z151" i="1" s="1"/>
  <c r="AD75" i="1"/>
  <c r="AC159" i="1"/>
  <c r="AC193" i="1" s="1"/>
  <c r="Z100" i="1"/>
  <c r="AA66" i="1"/>
  <c r="AA71" i="1" s="1"/>
  <c r="AA154" i="1"/>
  <c r="AA139" i="1"/>
  <c r="AB63" i="1"/>
  <c r="Z157" i="1"/>
  <c r="Z142" i="1"/>
  <c r="AC145" i="1"/>
  <c r="AC146" i="1" s="1"/>
  <c r="AD136" i="1" s="1"/>
  <c r="Z133" i="1"/>
  <c r="Z191" i="1" s="1"/>
  <c r="AC94" i="1" l="1"/>
  <c r="AB170" i="1"/>
  <c r="AB141" i="1"/>
  <c r="AC65" i="1"/>
  <c r="AB156" i="1"/>
  <c r="AC181" i="1"/>
  <c r="AD123" i="1"/>
  <c r="AB66" i="1"/>
  <c r="AB71" i="1" s="1"/>
  <c r="AB139" i="1"/>
  <c r="AC63" i="1"/>
  <c r="AB154" i="1"/>
  <c r="AE75" i="1"/>
  <c r="AD159" i="1"/>
  <c r="AD193" i="1" s="1"/>
  <c r="AB95" i="1"/>
  <c r="AB171" i="1" s="1"/>
  <c r="AB100" i="1"/>
  <c r="AC92" i="1"/>
  <c r="AB168" i="1"/>
  <c r="Z160" i="1"/>
  <c r="Z161" i="1" s="1"/>
  <c r="AA151" i="1" s="1"/>
  <c r="AA160" i="1" s="1"/>
  <c r="AB140" i="1"/>
  <c r="AC64" i="1"/>
  <c r="AB155" i="1"/>
  <c r="AC122" i="1"/>
  <c r="AB180" i="1"/>
  <c r="AB126" i="1"/>
  <c r="AB184" i="1" s="1"/>
  <c r="AB195" i="1" s="1"/>
  <c r="Z174" i="1"/>
  <c r="AA72" i="1"/>
  <c r="AA152" i="1"/>
  <c r="AA142" i="1"/>
  <c r="AA157" i="1"/>
  <c r="AE104" i="1"/>
  <c r="AD173" i="1"/>
  <c r="AD194" i="1" s="1"/>
  <c r="AE22" i="1"/>
  <c r="AC42" i="1"/>
  <c r="AD111" i="1"/>
  <c r="AD51" i="1"/>
  <c r="AD81" i="1" s="1"/>
  <c r="Z101" i="1"/>
  <c r="Z166" i="1"/>
  <c r="Z175" i="1" s="1"/>
  <c r="AA165" i="1" s="1"/>
  <c r="AA174" i="1" s="1"/>
  <c r="AA100" i="1"/>
  <c r="AC124" i="1"/>
  <c r="AC182" i="1" s="1"/>
  <c r="AD121" i="1"/>
  <c r="AC179" i="1"/>
  <c r="AD145" i="1"/>
  <c r="AD146" i="1" s="1"/>
  <c r="AE136" i="1" s="1"/>
  <c r="AA133" i="1"/>
  <c r="AA191" i="1" s="1"/>
  <c r="AC141" i="1" l="1"/>
  <c r="AC156" i="1"/>
  <c r="AD65" i="1"/>
  <c r="AA161" i="1"/>
  <c r="AB151" i="1" s="1"/>
  <c r="AB160" i="1" s="1"/>
  <c r="AE123" i="1"/>
  <c r="AE181" i="1" s="1"/>
  <c r="AD181" i="1"/>
  <c r="AC170" i="1"/>
  <c r="AD94" i="1"/>
  <c r="AE173" i="1"/>
  <c r="AE194" i="1" s="1"/>
  <c r="F105" i="1"/>
  <c r="AB101" i="1"/>
  <c r="AB166" i="1"/>
  <c r="AF75" i="1"/>
  <c r="AE159" i="1"/>
  <c r="AE193" i="1" s="1"/>
  <c r="AB72" i="1"/>
  <c r="AB152" i="1"/>
  <c r="AD64" i="1"/>
  <c r="AC140" i="1"/>
  <c r="AC155" i="1"/>
  <c r="AC66" i="1"/>
  <c r="AC154" i="1"/>
  <c r="AC139" i="1"/>
  <c r="AD63" i="1"/>
  <c r="AC126" i="1"/>
  <c r="AC184" i="1" s="1"/>
  <c r="AC195" i="1" s="1"/>
  <c r="AA101" i="1"/>
  <c r="AA166" i="1"/>
  <c r="AA175" i="1" s="1"/>
  <c r="AB165" i="1" s="1"/>
  <c r="AC95" i="1"/>
  <c r="AC171" i="1" s="1"/>
  <c r="AC168" i="1"/>
  <c r="AD92" i="1"/>
  <c r="AD124" i="1"/>
  <c r="AD182" i="1" s="1"/>
  <c r="AE121" i="1"/>
  <c r="AD179" i="1"/>
  <c r="AF22" i="1"/>
  <c r="AE51" i="1"/>
  <c r="AE81" i="1" s="1"/>
  <c r="AD42" i="1"/>
  <c r="AE111" i="1"/>
  <c r="AD122" i="1"/>
  <c r="AC180" i="1"/>
  <c r="AB142" i="1"/>
  <c r="AB157" i="1"/>
  <c r="AE145" i="1"/>
  <c r="AE146" i="1"/>
  <c r="AF136" i="1" s="1"/>
  <c r="AB133" i="1"/>
  <c r="AB191" i="1" s="1"/>
  <c r="AD141" i="1" l="1"/>
  <c r="AD156" i="1"/>
  <c r="AE65" i="1"/>
  <c r="AB161" i="1"/>
  <c r="AC151" i="1" s="1"/>
  <c r="AC160" i="1" s="1"/>
  <c r="AD170" i="1"/>
  <c r="AE94" i="1"/>
  <c r="AE170" i="1" s="1"/>
  <c r="AD126" i="1"/>
  <c r="AD184" i="1" s="1"/>
  <c r="AD195" i="1" s="1"/>
  <c r="AB174" i="1"/>
  <c r="AB175" i="1" s="1"/>
  <c r="AC165" i="1" s="1"/>
  <c r="AC174" i="1" s="1"/>
  <c r="AG75" i="1"/>
  <c r="AF159" i="1"/>
  <c r="AF193" i="1" s="1"/>
  <c r="AD95" i="1"/>
  <c r="AD171" i="1" s="1"/>
  <c r="AD100" i="1"/>
  <c r="AD168" i="1"/>
  <c r="AE92" i="1"/>
  <c r="AE122" i="1"/>
  <c r="AE180" i="1" s="1"/>
  <c r="AD180" i="1"/>
  <c r="AG22" i="1"/>
  <c r="AE42" i="1"/>
  <c r="AF111" i="1"/>
  <c r="AF51" i="1"/>
  <c r="AF81" i="1" s="1"/>
  <c r="AD66" i="1"/>
  <c r="AD71" i="1" s="1"/>
  <c r="AD154" i="1"/>
  <c r="AD139" i="1"/>
  <c r="AE63" i="1"/>
  <c r="AC142" i="1"/>
  <c r="AC157" i="1"/>
  <c r="AE124" i="1"/>
  <c r="AE182" i="1" s="1"/>
  <c r="AE179" i="1"/>
  <c r="AC100" i="1"/>
  <c r="AC71" i="1"/>
  <c r="AE64" i="1"/>
  <c r="AD140" i="1"/>
  <c r="AD155" i="1"/>
  <c r="AF145" i="1"/>
  <c r="AF146" i="1" s="1"/>
  <c r="AG136" i="1" s="1"/>
  <c r="AC133" i="1"/>
  <c r="AC191" i="1" s="1"/>
  <c r="AE156" i="1" l="1"/>
  <c r="AE141" i="1"/>
  <c r="AF65" i="1"/>
  <c r="AD72" i="1"/>
  <c r="AD152" i="1"/>
  <c r="AC101" i="1"/>
  <c r="AC166" i="1"/>
  <c r="AC175" i="1" s="1"/>
  <c r="AD165" i="1" s="1"/>
  <c r="AD174" i="1" s="1"/>
  <c r="AD175" i="1" s="1"/>
  <c r="AE165" i="1" s="1"/>
  <c r="AE174" i="1" s="1"/>
  <c r="AD101" i="1"/>
  <c r="AD166" i="1"/>
  <c r="AH75" i="1"/>
  <c r="AG159" i="1"/>
  <c r="AG193" i="1" s="1"/>
  <c r="AE126" i="1"/>
  <c r="AE184" i="1" s="1"/>
  <c r="AE195" i="1" s="1"/>
  <c r="AE66" i="1"/>
  <c r="AE71" i="1" s="1"/>
  <c r="AE154" i="1"/>
  <c r="AE139" i="1"/>
  <c r="AF63" i="1"/>
  <c r="AD142" i="1"/>
  <c r="AD157" i="1"/>
  <c r="AH22" i="1"/>
  <c r="AG51" i="1"/>
  <c r="AG81" i="1" s="1"/>
  <c r="AF101" i="1" s="1"/>
  <c r="AF42" i="1"/>
  <c r="AG111" i="1"/>
  <c r="AE95" i="1"/>
  <c r="AE171" i="1" s="1"/>
  <c r="AE100" i="1"/>
  <c r="AE168" i="1"/>
  <c r="AF64" i="1"/>
  <c r="AE155" i="1"/>
  <c r="AE140" i="1"/>
  <c r="AC72" i="1"/>
  <c r="AC152" i="1"/>
  <c r="AC161" i="1" s="1"/>
  <c r="AD151" i="1" s="1"/>
  <c r="AG145" i="1"/>
  <c r="AG146" i="1" s="1"/>
  <c r="AH136" i="1" s="1"/>
  <c r="AD133" i="1"/>
  <c r="AD191" i="1" s="1"/>
  <c r="AF141" i="1" l="1"/>
  <c r="AG65" i="1"/>
  <c r="AF156" i="1"/>
  <c r="AE72" i="1"/>
  <c r="AE152" i="1"/>
  <c r="AE101" i="1"/>
  <c r="F102" i="1"/>
  <c r="AE166" i="1"/>
  <c r="AE175" i="1" s="1"/>
  <c r="AF165" i="1" s="1"/>
  <c r="AF174" i="1" s="1"/>
  <c r="AF175" i="1" s="1"/>
  <c r="AG165" i="1" s="1"/>
  <c r="AF66" i="1"/>
  <c r="AF71" i="1"/>
  <c r="AF154" i="1"/>
  <c r="AF139" i="1"/>
  <c r="AG63" i="1"/>
  <c r="AE142" i="1"/>
  <c r="AE157" i="1"/>
  <c r="AI22" i="1"/>
  <c r="AG42" i="1"/>
  <c r="AH111" i="1"/>
  <c r="AH51" i="1"/>
  <c r="AH81" i="1" s="1"/>
  <c r="AG101" i="1" s="1"/>
  <c r="AI75" i="1"/>
  <c r="AH159" i="1"/>
  <c r="AH193" i="1" s="1"/>
  <c r="AD160" i="1"/>
  <c r="AD161" i="1" s="1"/>
  <c r="AE151" i="1" s="1"/>
  <c r="AE160" i="1" s="1"/>
  <c r="AE161" i="1" s="1"/>
  <c r="AF151" i="1" s="1"/>
  <c r="AF160" i="1" s="1"/>
  <c r="AG64" i="1"/>
  <c r="AF155" i="1"/>
  <c r="AF140" i="1"/>
  <c r="AH145" i="1"/>
  <c r="AH146" i="1" s="1"/>
  <c r="AI136" i="1" s="1"/>
  <c r="AE133" i="1"/>
  <c r="AE191" i="1" s="1"/>
  <c r="AH65" i="1" l="1"/>
  <c r="AG141" i="1"/>
  <c r="AG156" i="1"/>
  <c r="AG174" i="1"/>
  <c r="AG175" i="1" s="1"/>
  <c r="AH165" i="1" s="1"/>
  <c r="AH174" i="1" s="1"/>
  <c r="AH175" i="1" s="1"/>
  <c r="AI165" i="1" s="1"/>
  <c r="AG66" i="1"/>
  <c r="AG154" i="1"/>
  <c r="AH63" i="1"/>
  <c r="AG139" i="1"/>
  <c r="AF157" i="1"/>
  <c r="AF142" i="1"/>
  <c r="AF72" i="1"/>
  <c r="AF152" i="1"/>
  <c r="AF161" i="1" s="1"/>
  <c r="AG151" i="1" s="1"/>
  <c r="AG160" i="1" s="1"/>
  <c r="AH64" i="1"/>
  <c r="AG155" i="1"/>
  <c r="AG140" i="1"/>
  <c r="AI159" i="1"/>
  <c r="AI193" i="1" s="1"/>
  <c r="AJ75" i="1"/>
  <c r="AJ22" i="1"/>
  <c r="AI51" i="1"/>
  <c r="AI81" i="1" s="1"/>
  <c r="AH101" i="1" s="1"/>
  <c r="AH42" i="1"/>
  <c r="AI111" i="1"/>
  <c r="F106" i="1"/>
  <c r="AI145" i="1"/>
  <c r="AI146" i="1"/>
  <c r="AJ136" i="1" s="1"/>
  <c r="AF133" i="1"/>
  <c r="AF191" i="1" s="1"/>
  <c r="AH141" i="1" l="1"/>
  <c r="AH156" i="1"/>
  <c r="AI65" i="1"/>
  <c r="AG157" i="1"/>
  <c r="AG142" i="1"/>
  <c r="AJ159" i="1"/>
  <c r="AJ193" i="1" s="1"/>
  <c r="F76" i="1"/>
  <c r="AH66" i="1"/>
  <c r="AH139" i="1"/>
  <c r="AH154" i="1"/>
  <c r="AI63" i="1"/>
  <c r="AK22" i="1"/>
  <c r="AI42" i="1"/>
  <c r="AJ111" i="1"/>
  <c r="AJ51" i="1"/>
  <c r="AJ81" i="1" s="1"/>
  <c r="AI101" i="1" s="1"/>
  <c r="AI64" i="1"/>
  <c r="AH140" i="1"/>
  <c r="AH155" i="1"/>
  <c r="AG71" i="1"/>
  <c r="AI174" i="1"/>
  <c r="AI175" i="1" s="1"/>
  <c r="AJ165" i="1" s="1"/>
  <c r="AJ145" i="1"/>
  <c r="AJ146" i="1" s="1"/>
  <c r="AK136" i="1" s="1"/>
  <c r="AG133" i="1"/>
  <c r="AG191" i="1" s="1"/>
  <c r="AI156" i="1" l="1"/>
  <c r="AI141" i="1"/>
  <c r="AJ65" i="1"/>
  <c r="AH142" i="1"/>
  <c r="AH157" i="1"/>
  <c r="AG72" i="1"/>
  <c r="AG152" i="1"/>
  <c r="AG161" i="1" s="1"/>
  <c r="AH151" i="1" s="1"/>
  <c r="AH160" i="1" s="1"/>
  <c r="AI66" i="1"/>
  <c r="AI71" i="1" s="1"/>
  <c r="AI139" i="1"/>
  <c r="AI154" i="1"/>
  <c r="AJ63" i="1"/>
  <c r="AJ64" i="1"/>
  <c r="AI140" i="1"/>
  <c r="AI155" i="1"/>
  <c r="AL22" i="1"/>
  <c r="AK51" i="1"/>
  <c r="AK81" i="1" s="1"/>
  <c r="AJ101" i="1" s="1"/>
  <c r="AJ42" i="1"/>
  <c r="AK111" i="1"/>
  <c r="AH71" i="1"/>
  <c r="AJ174" i="1"/>
  <c r="AJ175" i="1" s="1"/>
  <c r="AK165" i="1" s="1"/>
  <c r="AK145" i="1"/>
  <c r="AK146" i="1" s="1"/>
  <c r="AL136" i="1" s="1"/>
  <c r="AH133" i="1"/>
  <c r="AH191" i="1" s="1"/>
  <c r="AJ141" i="1" l="1"/>
  <c r="AJ156" i="1"/>
  <c r="AJ155" i="1"/>
  <c r="AJ140" i="1"/>
  <c r="AI72" i="1"/>
  <c r="AI152" i="1"/>
  <c r="AH72" i="1"/>
  <c r="AH152" i="1"/>
  <c r="AK42" i="1"/>
  <c r="E43" i="1" s="1"/>
  <c r="AL111" i="1"/>
  <c r="AL51" i="1"/>
  <c r="AJ66" i="1"/>
  <c r="AJ139" i="1"/>
  <c r="AJ154" i="1"/>
  <c r="AI142" i="1"/>
  <c r="AI157" i="1"/>
  <c r="AH161" i="1"/>
  <c r="AI151" i="1" s="1"/>
  <c r="AI160" i="1" s="1"/>
  <c r="AI161" i="1" s="1"/>
  <c r="AJ151" i="1" s="1"/>
  <c r="AJ160" i="1" s="1"/>
  <c r="AK174" i="1"/>
  <c r="AK175" i="1" s="1"/>
  <c r="AL165" i="1" s="1"/>
  <c r="AL145" i="1"/>
  <c r="AL146" i="1" s="1"/>
  <c r="AM136" i="1" s="1"/>
  <c r="AI133" i="1"/>
  <c r="AI191" i="1" s="1"/>
  <c r="AJ142" i="1" l="1"/>
  <c r="AJ157" i="1"/>
  <c r="AJ71" i="1"/>
  <c r="AL81" i="1"/>
  <c r="AK101" i="1" s="1"/>
  <c r="E102" i="1" s="1"/>
  <c r="AK72" i="1"/>
  <c r="AL174" i="1"/>
  <c r="AL175" i="1" s="1"/>
  <c r="AM165" i="1" s="1"/>
  <c r="AM145" i="1"/>
  <c r="AM146" i="1" s="1"/>
  <c r="AJ133" i="1"/>
  <c r="AJ191" i="1" s="1"/>
  <c r="AJ72" i="1" l="1"/>
  <c r="F73" i="1"/>
  <c r="AJ152" i="1"/>
  <c r="AJ161" i="1" s="1"/>
  <c r="AK151" i="1" s="1"/>
  <c r="AK160" i="1" s="1"/>
  <c r="AK161" i="1" s="1"/>
  <c r="AL151" i="1" s="1"/>
  <c r="AL160" i="1" s="1"/>
  <c r="AL161" i="1" s="1"/>
  <c r="AM151" i="1" s="1"/>
  <c r="AM160" i="1" s="1"/>
  <c r="AM161" i="1" s="1"/>
  <c r="AM174" i="1"/>
  <c r="AM175" i="1" s="1"/>
  <c r="AL133" i="1"/>
  <c r="AL191" i="1" s="1"/>
  <c r="AK133" i="1"/>
  <c r="AK191" i="1" s="1"/>
  <c r="E73" i="1" l="1"/>
  <c r="F77" i="1"/>
</calcChain>
</file>

<file path=xl/sharedStrings.xml><?xml version="1.0" encoding="utf-8"?>
<sst xmlns="http://schemas.openxmlformats.org/spreadsheetml/2006/main" count="187" uniqueCount="90">
  <si>
    <t>Aanvangswaarde</t>
  </si>
  <si>
    <t>Objectgegevens</t>
  </si>
  <si>
    <t>BVO</t>
  </si>
  <si>
    <t>VVO</t>
  </si>
  <si>
    <t>WOZ-waarde</t>
  </si>
  <si>
    <t>Boekwaarde</t>
  </si>
  <si>
    <t>Bouwjaar</t>
  </si>
  <si>
    <t>Looptijd</t>
  </si>
  <si>
    <t>Rente</t>
  </si>
  <si>
    <t>Onderhoudskosten</t>
  </si>
  <si>
    <t>Beheerlasten</t>
  </si>
  <si>
    <t>Vaste lasten</t>
  </si>
  <si>
    <t>BTW-mengpercentage</t>
  </si>
  <si>
    <t>gemiddeld MJOP-bedrag 50 jaar</t>
  </si>
  <si>
    <t>Restwaarde</t>
  </si>
  <si>
    <t>Index kosten</t>
  </si>
  <si>
    <t>Index opbrengsten</t>
  </si>
  <si>
    <t>jaar</t>
  </si>
  <si>
    <t>(incl 60% rest-BTW)</t>
  </si>
  <si>
    <t>NCW huur</t>
  </si>
  <si>
    <t>Aanvangshuur KPDH</t>
  </si>
  <si>
    <t>€</t>
  </si>
  <si>
    <t>Boekwaarde grond</t>
  </si>
  <si>
    <t>Kostprijsdekkende huur</t>
  </si>
  <si>
    <t>BTW-schade onderhoud</t>
  </si>
  <si>
    <t>m²</t>
  </si>
  <si>
    <t>€/m² VVO</t>
  </si>
  <si>
    <t>Jaar</t>
  </si>
  <si>
    <t>Oppervlakte perceel</t>
  </si>
  <si>
    <t>€, incl. grond</t>
  </si>
  <si>
    <t>Algemeen</t>
  </si>
  <si>
    <t>BTW</t>
  </si>
  <si>
    <t>Risico-opslag</t>
  </si>
  <si>
    <t>Gegevens huurder</t>
  </si>
  <si>
    <t>Huurder 1</t>
  </si>
  <si>
    <t>Huurder 2</t>
  </si>
  <si>
    <t>m² VVO</t>
  </si>
  <si>
    <t>BTW Huurder 1</t>
  </si>
  <si>
    <t>BTW Huurder 2</t>
  </si>
  <si>
    <t>BTW-belast</t>
  </si>
  <si>
    <t>BTW vrijgesteld</t>
  </si>
  <si>
    <t>Exploitatielasten</t>
  </si>
  <si>
    <t>€ (OZB, Waterschapslasten, rioolheffing, verzekering)</t>
  </si>
  <si>
    <t>Exit yield</t>
  </si>
  <si>
    <t>Jaar →</t>
  </si>
  <si>
    <r>
      <t xml:space="preserve">Periode </t>
    </r>
    <r>
      <rPr>
        <b/>
        <sz val="11"/>
        <color theme="0"/>
        <rFont val="Calibri"/>
        <family val="2"/>
      </rPr>
      <t>→</t>
    </r>
  </si>
  <si>
    <t>Saldo cashflow</t>
  </si>
  <si>
    <t>Opbrengsten</t>
  </si>
  <si>
    <t>Kosten</t>
  </si>
  <si>
    <t>Specifieke invoer DCF WOZ</t>
  </si>
  <si>
    <t>NCW huuropbrengsten</t>
  </si>
  <si>
    <t>Grondwaarde</t>
  </si>
  <si>
    <t>NCW cashflow</t>
  </si>
  <si>
    <t>(€ 1,50 per m² BVO per jaar)</t>
  </si>
  <si>
    <t>Boekwaarde grond zonder index</t>
  </si>
  <si>
    <t>Onderhoud</t>
  </si>
  <si>
    <t>Annuïteit (kapitaalslasten)</t>
  </si>
  <si>
    <t>Huur</t>
  </si>
  <si>
    <t>(via DCF)</t>
  </si>
  <si>
    <t>Kasstroom</t>
  </si>
  <si>
    <t>Begin</t>
  </si>
  <si>
    <t>Saldo incl. rente</t>
  </si>
  <si>
    <t>Bankboekje</t>
  </si>
  <si>
    <t>DCF Boekwaarde looptijd afschrijftermijn</t>
  </si>
  <si>
    <t>Kap.lasten Boekwaarde looptijd afschrijftermijn</t>
  </si>
  <si>
    <t>Specifieke invoer Kap.lasten Boekwaarde</t>
  </si>
  <si>
    <t>Specifieke invoer DCF Boekwaarde</t>
  </si>
  <si>
    <t>Sloopkosten</t>
  </si>
  <si>
    <t>€/m² BVO</t>
  </si>
  <si>
    <t>€/m² VVO (inschatting)</t>
  </si>
  <si>
    <t>€/m² grond, cf grondprijsbrief</t>
  </si>
  <si>
    <t>Ingeschatte contracthuur jaar 15</t>
  </si>
  <si>
    <t>Kosten Koper</t>
  </si>
  <si>
    <t>(verminderd met kosten koper)</t>
  </si>
  <si>
    <t>grond, in berekening nog te indexeren</t>
  </si>
  <si>
    <t>DCF WOZ looptijd 10 jaar</t>
  </si>
  <si>
    <t>DCF WOZ, looptijd technische levensduur opstal</t>
  </si>
  <si>
    <t>Netto contante waarden</t>
  </si>
  <si>
    <t>Verouderingsfactor</t>
  </si>
  <si>
    <t>(doelzoeken op NCW huur jaar 1 = NCW cashflow)</t>
  </si>
  <si>
    <t>Restwaarde (niet geïndexeerd)</t>
  </si>
  <si>
    <t>(geïndexeerde grondwaarde - geïndexeerde sloopkosten)</t>
  </si>
  <si>
    <t>(boekwaarde grond zonder index)</t>
  </si>
  <si>
    <t>GRAFIEKEN</t>
  </si>
  <si>
    <t>Disclaimer</t>
  </si>
  <si>
    <t>Voorbeeldrekensommen kostprijsdekkende huur bij 'Wat kost dat? Menukaart voor een kostprijsdekkende huur bij gemeentelijk vastgoed'</t>
  </si>
  <si>
    <t xml:space="preserve">Hoewel deze voorbeeldrekensommen met grote zorgvuldigheid zijn samengesteld,
 aanvaarden de auteurs, Fakton en Bouwstenen voor Sociaal geen aansprakelijkheid voor 
</t>
  </si>
  <si>
    <t>gemeenten kunnen maken bij het vaststellen van een kostprijsdekkende huur zoals beschreven in de Menukaart. Gezien het illustratieve doel betreffen het statische berekeningen en zijn de inputgegevens volledig fictief.</t>
  </si>
  <si>
    <r>
      <t xml:space="preserve">de gevolgen van het gebruik van de inhoud. Er kunnen geen rechten aan worden ontleend. De voorbeeldrekensommen bevatten ook geen advies, maar geven illustratief een beeld van de </t>
    </r>
    <r>
      <rPr>
        <b/>
        <i/>
        <sz val="12"/>
        <color theme="1"/>
        <rFont val="Calibri"/>
        <family val="2"/>
        <scheme val="minor"/>
      </rPr>
      <t>rekenkundige</t>
    </r>
    <r>
      <rPr>
        <b/>
        <sz val="12"/>
        <color theme="1"/>
        <rFont val="Calibri"/>
        <family val="2"/>
        <scheme val="minor"/>
      </rPr>
      <t xml:space="preserve"> keuzes die</t>
    </r>
  </si>
  <si>
    <t>Inputgegevens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</si>
</sst>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€&quot;\ #,##0;[Red]&quot;€&quot;\ \-#,##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_ &quot;€&quot;\ * #,##0_ ;_ &quot;€&quot;\ * \-#,##0_ ;_ &quot;€&quot;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indexed="64"/>
      </bottom>
      <diagonal/>
    </border>
    <border>
      <left/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7" fillId="0" borderId="0" xfId="0" applyFont="1"/>
    <xf numFmtId="0" fontId="8" fillId="3" borderId="2" xfId="0" applyFont="1" applyFill="1" applyBorder="1"/>
    <xf numFmtId="9" fontId="8" fillId="3" borderId="2" xfId="0" applyNumberFormat="1" applyFont="1" applyFill="1" applyBorder="1"/>
    <xf numFmtId="165" fontId="8" fillId="3" borderId="2" xfId="1" applyNumberFormat="1" applyFont="1" applyFill="1" applyBorder="1"/>
    <xf numFmtId="10" fontId="8" fillId="3" borderId="2" xfId="0" applyNumberFormat="1" applyFont="1" applyFill="1" applyBorder="1"/>
    <xf numFmtId="164" fontId="0" fillId="0" borderId="1" xfId="0" applyNumberFormat="1" applyBorder="1"/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164" fontId="0" fillId="0" borderId="0" xfId="0" applyNumberFormat="1" applyBorder="1"/>
    <xf numFmtId="0" fontId="0" fillId="0" borderId="6" xfId="0" applyBorder="1" applyAlignment="1">
      <alignment horizontal="left"/>
    </xf>
    <xf numFmtId="9" fontId="0" fillId="0" borderId="0" xfId="0" applyNumberFormat="1" applyBorder="1"/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left" indent="2"/>
    </xf>
    <xf numFmtId="164" fontId="0" fillId="0" borderId="0" xfId="1" applyNumberFormat="1" applyFont="1" applyBorder="1"/>
    <xf numFmtId="0" fontId="0" fillId="0" borderId="8" xfId="0" applyBorder="1" applyAlignment="1">
      <alignment horizontal="left" indent="2"/>
    </xf>
    <xf numFmtId="0" fontId="3" fillId="0" borderId="0" xfId="0" applyFont="1" applyBorder="1"/>
    <xf numFmtId="164" fontId="3" fillId="0" borderId="0" xfId="0" applyNumberFormat="1" applyFont="1" applyBorder="1"/>
    <xf numFmtId="164" fontId="3" fillId="0" borderId="0" xfId="1" applyNumberFormat="1" applyFont="1" applyBorder="1"/>
    <xf numFmtId="6" fontId="0" fillId="0" borderId="0" xfId="0" applyNumberFormat="1" applyBorder="1"/>
    <xf numFmtId="6" fontId="3" fillId="0" borderId="0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6" xfId="0" applyFont="1" applyBorder="1" applyAlignment="1">
      <alignment horizontal="left"/>
    </xf>
    <xf numFmtId="0" fontId="9" fillId="0" borderId="13" xfId="0" applyFont="1" applyBorder="1"/>
    <xf numFmtId="0" fontId="0" fillId="0" borderId="14" xfId="0" applyBorder="1"/>
    <xf numFmtId="1" fontId="9" fillId="0" borderId="15" xfId="0" applyNumberFormat="1" applyFont="1" applyBorder="1"/>
    <xf numFmtId="0" fontId="4" fillId="0" borderId="6" xfId="0" applyFont="1" applyBorder="1"/>
    <xf numFmtId="0" fontId="7" fillId="0" borderId="0" xfId="0" applyFont="1" applyBorder="1"/>
    <xf numFmtId="43" fontId="0" fillId="0" borderId="0" xfId="1" applyFont="1" applyBorder="1"/>
    <xf numFmtId="43" fontId="0" fillId="0" borderId="7" xfId="1" applyFont="1" applyBorder="1"/>
    <xf numFmtId="43" fontId="0" fillId="0" borderId="1" xfId="1" applyFont="1" applyBorder="1"/>
    <xf numFmtId="43" fontId="0" fillId="0" borderId="9" xfId="1" applyFont="1" applyBorder="1"/>
    <xf numFmtId="43" fontId="3" fillId="0" borderId="0" xfId="1" applyFont="1" applyBorder="1"/>
    <xf numFmtId="43" fontId="3" fillId="0" borderId="7" xfId="1" applyFont="1" applyBorder="1"/>
    <xf numFmtId="43" fontId="3" fillId="0" borderId="0" xfId="1" applyFont="1"/>
    <xf numFmtId="0" fontId="0" fillId="0" borderId="6" xfId="0" applyFont="1" applyBorder="1"/>
    <xf numFmtId="0" fontId="9" fillId="0" borderId="11" xfId="0" applyFont="1" applyBorder="1"/>
    <xf numFmtId="1" fontId="9" fillId="0" borderId="11" xfId="0" applyNumberFormat="1" applyFont="1" applyBorder="1"/>
    <xf numFmtId="0" fontId="0" fillId="0" borderId="8" xfId="0" applyBorder="1" applyAlignment="1">
      <alignment horizontal="right"/>
    </xf>
    <xf numFmtId="165" fontId="8" fillId="3" borderId="16" xfId="1" applyNumberFormat="1" applyFont="1" applyFill="1" applyBorder="1"/>
    <xf numFmtId="0" fontId="4" fillId="0" borderId="19" xfId="0" applyFont="1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4" fontId="3" fillId="0" borderId="7" xfId="0" applyNumberFormat="1" applyFont="1" applyBorder="1"/>
    <xf numFmtId="164" fontId="3" fillId="0" borderId="7" xfId="1" applyNumberFormat="1" applyFont="1" applyBorder="1"/>
    <xf numFmtId="1" fontId="2" fillId="0" borderId="0" xfId="0" applyNumberFormat="1" applyFont="1" applyBorder="1"/>
    <xf numFmtId="6" fontId="0" fillId="0" borderId="11" xfId="0" applyNumberFormat="1" applyBorder="1"/>
    <xf numFmtId="3" fontId="0" fillId="0" borderId="0" xfId="1" applyNumberFormat="1" applyFont="1" applyBorder="1"/>
    <xf numFmtId="3" fontId="0" fillId="0" borderId="7" xfId="1" applyNumberFormat="1" applyFont="1" applyBorder="1"/>
    <xf numFmtId="0" fontId="11" fillId="0" borderId="0" xfId="0" applyFont="1" applyBorder="1"/>
    <xf numFmtId="0" fontId="11" fillId="0" borderId="0" xfId="0" applyFont="1"/>
    <xf numFmtId="164" fontId="11" fillId="0" borderId="0" xfId="0" applyNumberFormat="1" applyFont="1" applyBorder="1"/>
    <xf numFmtId="165" fontId="11" fillId="0" borderId="0" xfId="1" applyNumberFormat="1" applyFont="1"/>
    <xf numFmtId="0" fontId="10" fillId="0" borderId="0" xfId="0" applyFont="1"/>
    <xf numFmtId="165" fontId="11" fillId="0" borderId="0" xfId="0" applyNumberFormat="1" applyFont="1"/>
    <xf numFmtId="0" fontId="11" fillId="0" borderId="0" xfId="1" applyNumberFormat="1" applyFont="1"/>
    <xf numFmtId="1" fontId="11" fillId="0" borderId="0" xfId="0" applyNumberFormat="1" applyFont="1"/>
    <xf numFmtId="0" fontId="12" fillId="0" borderId="0" xfId="0" applyFont="1"/>
    <xf numFmtId="165" fontId="0" fillId="0" borderId="0" xfId="0" applyNumberFormat="1" applyBorder="1"/>
    <xf numFmtId="10" fontId="8" fillId="3" borderId="27" xfId="0" applyNumberFormat="1" applyFont="1" applyFill="1" applyBorder="1"/>
    <xf numFmtId="10" fontId="0" fillId="0" borderId="0" xfId="2" applyNumberFormat="1" applyFont="1"/>
    <xf numFmtId="0" fontId="12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66" fontId="10" fillId="0" borderId="0" xfId="3" applyNumberFormat="1" applyFont="1" applyBorder="1"/>
    <xf numFmtId="164" fontId="3" fillId="0" borderId="28" xfId="1" applyNumberFormat="1" applyFont="1" applyBorder="1"/>
    <xf numFmtId="0" fontId="0" fillId="0" borderId="1" xfId="0" applyBorder="1" applyAlignment="1">
      <alignment horizontal="left"/>
    </xf>
    <xf numFmtId="0" fontId="10" fillId="0" borderId="0" xfId="0" applyFont="1" applyBorder="1"/>
    <xf numFmtId="164" fontId="11" fillId="0" borderId="0" xfId="1" applyNumberFormat="1" applyFont="1" applyBorder="1"/>
    <xf numFmtId="164" fontId="11" fillId="0" borderId="0" xfId="1" applyNumberFormat="1" applyFont="1"/>
    <xf numFmtId="0" fontId="0" fillId="0" borderId="0" xfId="0" applyAlignme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 applyAlignment="1"/>
    <xf numFmtId="0" fontId="17" fillId="0" borderId="0" xfId="0" applyFont="1"/>
    <xf numFmtId="165" fontId="8" fillId="3" borderId="17" xfId="1" applyNumberFormat="1" applyFont="1" applyFill="1" applyBorder="1" applyAlignment="1">
      <alignment horizontal="left"/>
    </xf>
    <xf numFmtId="165" fontId="8" fillId="3" borderId="18" xfId="1" applyNumberFormat="1" applyFont="1" applyFill="1" applyBorder="1" applyAlignment="1">
      <alignment horizontal="left"/>
    </xf>
  </cellXfs>
  <cellStyles count="4">
    <cellStyle name="Komma" xfId="1" builtinId="3"/>
    <cellStyle name="Procent" xfId="2" builtinId="5"/>
    <cellStyle name="Standaard" xfId="0" builtinId="0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Rekenvoorbeeld 1: </a:t>
            </a:r>
            <a:r>
              <a:rPr lang="en-GB" b="1" baseline="0"/>
              <a:t>DCF WOZ 10 jaar</a:t>
            </a:r>
            <a:endParaRPr lang="en-GB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'Grafieken en berekening'!$B$138</c:f>
              <c:strCache>
                <c:ptCount val="1"/>
                <c:pt idx="0">
                  <c:v>Aanvangswaarde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'Grafieken en berekening'!$E$138:$P$138</c:f>
              <c:numCache>
                <c:formatCode>_ * #,##0_ ;_ * \-#,##0_ ;_ * "-"??_ ;_ @_ </c:formatCode>
                <c:ptCount val="12"/>
                <c:pt idx="1">
                  <c:v>-1500000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berekening'!$E$133:$P$133</c15:sqref>
                        </c15:formulaRef>
                      </c:ext>
                    </c:extLst>
                    <c:strCache>
                      <c:ptCount val="12"/>
                      <c:pt idx="1">
                        <c:v>Begin 2016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  <c:pt idx="11">
                        <c:v>2025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'Grafieken en berekening'!$B$139</c:f>
              <c:strCache>
                <c:ptCount val="1"/>
                <c:pt idx="0">
                  <c:v>Onderhoud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'Grafieken en berekening'!$E$139:$P$139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-24000</c:v>
                </c:pt>
                <c:pt idx="3">
                  <c:v>-24540</c:v>
                </c:pt>
                <c:pt idx="4">
                  <c:v>-25092.149999999998</c:v>
                </c:pt>
                <c:pt idx="5">
                  <c:v>-25656.723374999998</c:v>
                </c:pt>
                <c:pt idx="6">
                  <c:v>-26233.999650937498</c:v>
                </c:pt>
                <c:pt idx="7">
                  <c:v>-26824.264643083592</c:v>
                </c:pt>
                <c:pt idx="8">
                  <c:v>-27427.810597552972</c:v>
                </c:pt>
                <c:pt idx="9">
                  <c:v>-28044.936335997914</c:v>
                </c:pt>
                <c:pt idx="10">
                  <c:v>-28675.947403557868</c:v>
                </c:pt>
                <c:pt idx="11">
                  <c:v>-29321.15622013792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berekening'!$E$133:$P$133</c15:sqref>
                        </c15:formulaRef>
                      </c:ext>
                    </c:extLst>
                    <c:strCache>
                      <c:ptCount val="12"/>
                      <c:pt idx="1">
                        <c:v>Begin 2016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  <c:pt idx="11">
                        <c:v>2025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tx>
            <c:strRef>
              <c:f>'Grafieken en berekening'!$B$140</c:f>
              <c:strCache>
                <c:ptCount val="1"/>
                <c:pt idx="0">
                  <c:v>Beheerlasten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'Grafieken en berekening'!$E$140:$P$140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-1800</c:v>
                </c:pt>
                <c:pt idx="3">
                  <c:v>-1836</c:v>
                </c:pt>
                <c:pt idx="4">
                  <c:v>-1872.72</c:v>
                </c:pt>
                <c:pt idx="5">
                  <c:v>-1910.1744000000001</c:v>
                </c:pt>
                <c:pt idx="6">
                  <c:v>-1948.3778880000002</c:v>
                </c:pt>
                <c:pt idx="7">
                  <c:v>-1987.3454457600003</c:v>
                </c:pt>
                <c:pt idx="8">
                  <c:v>-2027.0923546752003</c:v>
                </c:pt>
                <c:pt idx="9">
                  <c:v>-2067.6342017687043</c:v>
                </c:pt>
                <c:pt idx="10">
                  <c:v>-2108.9868858040786</c:v>
                </c:pt>
                <c:pt idx="11">
                  <c:v>-2151.1666235201601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berekening'!$E$133:$P$133</c15:sqref>
                        </c15:formulaRef>
                      </c:ext>
                    </c:extLst>
                    <c:strCache>
                      <c:ptCount val="12"/>
                      <c:pt idx="1">
                        <c:v>Begin 2016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  <c:pt idx="11">
                        <c:v>2025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tx>
            <c:strRef>
              <c:f>'Grafieken en berekening'!$B$141</c:f>
              <c:strCache>
                <c:ptCount val="1"/>
                <c:pt idx="0">
                  <c:v>Vaste lasten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'Grafieken en berekening'!$E$141:$P$141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-3600</c:v>
                </c:pt>
                <c:pt idx="3">
                  <c:v>-3681</c:v>
                </c:pt>
                <c:pt idx="4">
                  <c:v>-3763.8224999999998</c:v>
                </c:pt>
                <c:pt idx="5">
                  <c:v>-3848.5085062499998</c:v>
                </c:pt>
                <c:pt idx="6">
                  <c:v>-3935.0999476406246</c:v>
                </c:pt>
                <c:pt idx="7">
                  <c:v>-4023.6396964625383</c:v>
                </c:pt>
                <c:pt idx="8">
                  <c:v>-4114.1715896329451</c:v>
                </c:pt>
                <c:pt idx="9">
                  <c:v>-4206.7404503996859</c:v>
                </c:pt>
                <c:pt idx="10">
                  <c:v>-4301.3921105336785</c:v>
                </c:pt>
                <c:pt idx="11">
                  <c:v>-4398.1734330206864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berekening'!$E$133:$P$133</c15:sqref>
                        </c15:formulaRef>
                      </c:ext>
                    </c:extLst>
                    <c:strCache>
                      <c:ptCount val="12"/>
                      <c:pt idx="1">
                        <c:v>Begin 2016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  <c:pt idx="11">
                        <c:v>2025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tx>
            <c:strRef>
              <c:f>'Grafieken en berekening'!$B$142</c:f>
              <c:strCache>
                <c:ptCount val="1"/>
                <c:pt idx="0">
                  <c:v>BTW-schade onderhoud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'Grafieken en berekening'!$E$142:$P$142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-2016</c:v>
                </c:pt>
                <c:pt idx="3">
                  <c:v>-2061.36</c:v>
                </c:pt>
                <c:pt idx="4">
                  <c:v>-2107.7406000000001</c:v>
                </c:pt>
                <c:pt idx="5">
                  <c:v>-2155.1647634999999</c:v>
                </c:pt>
                <c:pt idx="6">
                  <c:v>-2203.6559706787498</c:v>
                </c:pt>
                <c:pt idx="7">
                  <c:v>-2253.2382300190216</c:v>
                </c:pt>
                <c:pt idx="8">
                  <c:v>-2303.9360901944497</c:v>
                </c:pt>
                <c:pt idx="9">
                  <c:v>-2355.7746522238249</c:v>
                </c:pt>
                <c:pt idx="10">
                  <c:v>-2408.7795818988611</c:v>
                </c:pt>
                <c:pt idx="11">
                  <c:v>-2462.9771224915853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berekening'!$E$133:$P$133</c15:sqref>
                        </c15:formulaRef>
                      </c:ext>
                    </c:extLst>
                    <c:strCache>
                      <c:ptCount val="12"/>
                      <c:pt idx="1">
                        <c:v>Begin 2016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  <c:pt idx="11">
                        <c:v>2025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tx>
            <c:strRef>
              <c:f>'Grafieken en berekening'!$B$143</c:f>
              <c:strCache>
                <c:ptCount val="1"/>
                <c:pt idx="0">
                  <c:v>Restwaarde (niet geïndexeerd)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'Grafieken en berekening'!$E$143:$P$143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1203703.7037037036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berekening'!$E$133:$P$133</c15:sqref>
                        </c15:formulaRef>
                      </c:ext>
                    </c:extLst>
                    <c:strCache>
                      <c:ptCount val="12"/>
                      <c:pt idx="1">
                        <c:v>Begin 2016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  <c:pt idx="11">
                        <c:v>2025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tx>
            <c:strRef>
              <c:f>'Grafieken en berekening'!$B$144</c:f>
              <c:strCache>
                <c:ptCount val="1"/>
                <c:pt idx="0">
                  <c:v>Huur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'Grafieken en berekening'!$E$144:$P$144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109563.735732616</c:v>
                </c:pt>
                <c:pt idx="3">
                  <c:v>111755.01044726832</c:v>
                </c:pt>
                <c:pt idx="4">
                  <c:v>113990.11065621368</c:v>
                </c:pt>
                <c:pt idx="5">
                  <c:v>116269.91286933796</c:v>
                </c:pt>
                <c:pt idx="6">
                  <c:v>118595.31112672471</c:v>
                </c:pt>
                <c:pt idx="7">
                  <c:v>120967.21734925921</c:v>
                </c:pt>
                <c:pt idx="8">
                  <c:v>123386.5616962444</c:v>
                </c:pt>
                <c:pt idx="9">
                  <c:v>125854.29293016929</c:v>
                </c:pt>
                <c:pt idx="10">
                  <c:v>128371.37878877268</c:v>
                </c:pt>
                <c:pt idx="11">
                  <c:v>130938.80636454813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berekening'!$E$133:$P$133</c15:sqref>
                        </c15:formulaRef>
                      </c:ext>
                    </c:extLst>
                    <c:strCache>
                      <c:ptCount val="12"/>
                      <c:pt idx="1">
                        <c:v>Begin 2016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  <c:pt idx="11">
                        <c:v>2025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21936168"/>
        <c:axId val="521933424"/>
      </c:barChart>
      <c:lineChart>
        <c:grouping val="standard"/>
        <c:varyColors val="0"/>
        <c:ser>
          <c:idx val="7"/>
          <c:order val="7"/>
          <c:tx>
            <c:strRef>
              <c:f>'Grafieken en berekening'!$B$145</c:f>
              <c:strCache>
                <c:ptCount val="1"/>
                <c:pt idx="0">
                  <c:v>Rente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'Grafieken en berekening'!$E$145:$P$145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-60000</c:v>
                </c:pt>
                <c:pt idx="3">
                  <c:v>-59274.090570695364</c:v>
                </c:pt>
                <c:pt idx="4">
                  <c:v>-58459.588175632452</c:v>
                </c:pt>
                <c:pt idx="5">
                  <c:v>-57551.824600409207</c:v>
                </c:pt>
                <c:pt idx="6">
                  <c:v>-56545.923911442056</c:v>
                </c:pt>
                <c:pt idx="7">
                  <c:v>-55436.793761121029</c:v>
                </c:pt>
                <c:pt idx="8">
                  <c:v>-54219.116338208507</c:v>
                </c:pt>
                <c:pt idx="9">
                  <c:v>-52887.338949169294</c:v>
                </c:pt>
                <c:pt idx="10">
                  <c:v>-51435.664215544901</c:v>
                </c:pt>
                <c:pt idx="11">
                  <c:v>-49858.039871887573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berekening'!$E$133:$P$133</c15:sqref>
                        </c15:formulaRef>
                      </c:ext>
                    </c:extLst>
                    <c:strCache>
                      <c:ptCount val="12"/>
                      <c:pt idx="1">
                        <c:v>Begin 2016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  <c:pt idx="11">
                        <c:v>2025</c:v>
                      </c:pt>
                    </c:strCache>
                  </c:strRef>
                </c15:cat>
              </c15:filteredCategoryTitle>
            </c:ext>
          </c:extLst>
        </c:ser>
        <c:ser>
          <c:idx val="8"/>
          <c:order val="8"/>
          <c:tx>
            <c:strRef>
              <c:f>'Grafieken en berekening'!$B$146</c:f>
              <c:strCache>
                <c:ptCount val="1"/>
                <c:pt idx="0">
                  <c:v>Saldo incl. rente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'Grafieken en berekening'!$E$146:$P$146</c:f>
              <c:numCache>
                <c:formatCode>_ * #,##0_ ;_ * \-#,##0_ ;_ * "-"??_ ;_ @_ </c:formatCode>
                <c:ptCount val="12"/>
                <c:pt idx="1">
                  <c:v>-1500000</c:v>
                </c:pt>
                <c:pt idx="2">
                  <c:v>-1481852.2642673841</c:v>
                </c:pt>
                <c:pt idx="3">
                  <c:v>-1461489.7043908113</c:v>
                </c:pt>
                <c:pt idx="4">
                  <c:v>-1438795.6150102301</c:v>
                </c:pt>
                <c:pt idx="5">
                  <c:v>-1413648.0977860515</c:v>
                </c:pt>
                <c:pt idx="6">
                  <c:v>-1385919.8440280256</c:v>
                </c:pt>
                <c:pt idx="7">
                  <c:v>-1355477.9084552126</c:v>
                </c:pt>
                <c:pt idx="8">
                  <c:v>-1322183.4737292323</c:v>
                </c:pt>
                <c:pt idx="9">
                  <c:v>-1285891.6053886225</c:v>
                </c:pt>
                <c:pt idx="10">
                  <c:v>-1246450.9967971893</c:v>
                </c:pt>
                <c:pt idx="11">
                  <c:v>4.3874024413526058E-9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berekening'!$E$133:$P$133</c15:sqref>
                        </c15:formulaRef>
                      </c:ext>
                    </c:extLst>
                    <c:strCache>
                      <c:ptCount val="12"/>
                      <c:pt idx="1">
                        <c:v>Begin 2016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  <c:pt idx="11">
                        <c:v>2025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36168"/>
        <c:axId val="521933424"/>
      </c:lineChart>
      <c:catAx>
        <c:axId val="52193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33424"/>
        <c:crosses val="autoZero"/>
        <c:auto val="1"/>
        <c:lblAlgn val="ctr"/>
        <c:lblOffset val="100"/>
        <c:noMultiLvlLbl val="0"/>
      </c:catAx>
      <c:valAx>
        <c:axId val="52193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3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Rekenvoorbeeld 2: DCF</a:t>
            </a:r>
            <a:r>
              <a:rPr lang="en-GB" b="1" baseline="0"/>
              <a:t> WOZ looptijd technische levensduur</a:t>
            </a:r>
            <a:endParaRPr lang="en-GB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'Grafieken en berekening'!$B$153</c:f>
              <c:strCache>
                <c:ptCount val="1"/>
                <c:pt idx="0">
                  <c:v>Aanvangswaarde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'Grafieken en berekening'!$F$153:$AJ$153</c:f>
              <c:numCache>
                <c:formatCode>_ * #,##0_ ;_ * \-#,##0_ ;_ * "-"??_ ;_ @_ </c:formatCode>
                <c:ptCount val="31"/>
                <c:pt idx="0">
                  <c:v>-1500000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berekening'!$F$133:$AJ$133</c15:sqref>
                        </c15:formulaRef>
                      </c:ext>
                    </c:extLst>
                    <c:strCache>
                      <c:ptCount val="31"/>
                      <c:pt idx="0">
                        <c:v>Begin 2016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'Grafieken en berekening'!$B$154</c:f>
              <c:strCache>
                <c:ptCount val="1"/>
                <c:pt idx="0">
                  <c:v>Onderhoud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'Grafieken en berekening'!$F$154:$AJ$154</c:f>
              <c:numCache>
                <c:formatCode>_ * #,##0_ ;_ * \-#,##0_ ;_ * "-"??_ ;_ @_ </c:formatCode>
                <c:ptCount val="31"/>
                <c:pt idx="0">
                  <c:v>0</c:v>
                </c:pt>
                <c:pt idx="1">
                  <c:v>-24000</c:v>
                </c:pt>
                <c:pt idx="2">
                  <c:v>-24540</c:v>
                </c:pt>
                <c:pt idx="3">
                  <c:v>-25092.149999999998</c:v>
                </c:pt>
                <c:pt idx="4">
                  <c:v>-25656.723374999998</c:v>
                </c:pt>
                <c:pt idx="5">
                  <c:v>-26233.999650937498</c:v>
                </c:pt>
                <c:pt idx="6">
                  <c:v>-26824.264643083592</c:v>
                </c:pt>
                <c:pt idx="7">
                  <c:v>-27427.810597552972</c:v>
                </c:pt>
                <c:pt idx="8">
                  <c:v>-28044.936335997914</c:v>
                </c:pt>
                <c:pt idx="9">
                  <c:v>-28675.947403557868</c:v>
                </c:pt>
                <c:pt idx="10">
                  <c:v>-29321.15622013792</c:v>
                </c:pt>
                <c:pt idx="11">
                  <c:v>-29980.882235091023</c:v>
                </c:pt>
                <c:pt idx="12">
                  <c:v>-30655.45208538057</c:v>
                </c:pt>
                <c:pt idx="13">
                  <c:v>-31345.199757301631</c:v>
                </c:pt>
                <c:pt idx="14">
                  <c:v>-32050.466751840915</c:v>
                </c:pt>
                <c:pt idx="15">
                  <c:v>-32771.602253757337</c:v>
                </c:pt>
                <c:pt idx="16">
                  <c:v>-33508.963304466874</c:v>
                </c:pt>
                <c:pt idx="17">
                  <c:v>-34262.914978817375</c:v>
                </c:pt>
                <c:pt idx="18">
                  <c:v>-35033.830565840763</c:v>
                </c:pt>
                <c:pt idx="19">
                  <c:v>-35822.091753572182</c:v>
                </c:pt>
                <c:pt idx="20">
                  <c:v>-36628.088818027558</c:v>
                </c:pt>
                <c:pt idx="21">
                  <c:v>-37452.220816433175</c:v>
                </c:pt>
                <c:pt idx="22">
                  <c:v>-38294.895784802917</c:v>
                </c:pt>
                <c:pt idx="23">
                  <c:v>-39156.530939960983</c:v>
                </c:pt>
                <c:pt idx="24">
                  <c:v>-40037.552886110105</c:v>
                </c:pt>
                <c:pt idx="25">
                  <c:v>-40938.397826047578</c:v>
                </c:pt>
                <c:pt idx="26">
                  <c:v>-41859.511777133645</c:v>
                </c:pt>
                <c:pt idx="27">
                  <c:v>-42801.350792119149</c:v>
                </c:pt>
                <c:pt idx="28">
                  <c:v>-43764.381184941827</c:v>
                </c:pt>
                <c:pt idx="29">
                  <c:v>-44749.079761603018</c:v>
                </c:pt>
                <c:pt idx="30">
                  <c:v>-45755.934056239086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berekening'!$F$133:$AJ$133</c15:sqref>
                        </c15:formulaRef>
                      </c:ext>
                    </c:extLst>
                    <c:strCache>
                      <c:ptCount val="31"/>
                      <c:pt idx="0">
                        <c:v>Begin 2016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tx>
            <c:strRef>
              <c:f>'Grafieken en berekening'!$B$155</c:f>
              <c:strCache>
                <c:ptCount val="1"/>
                <c:pt idx="0">
                  <c:v>Beheerlasten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'Grafieken en berekening'!$F$155:$AJ$155</c:f>
              <c:numCache>
                <c:formatCode>_ * #,##0_ ;_ * \-#,##0_ ;_ * "-"??_ ;_ @_ </c:formatCode>
                <c:ptCount val="31"/>
                <c:pt idx="0">
                  <c:v>0</c:v>
                </c:pt>
                <c:pt idx="1">
                  <c:v>-1800</c:v>
                </c:pt>
                <c:pt idx="2">
                  <c:v>-1836</c:v>
                </c:pt>
                <c:pt idx="3">
                  <c:v>-1872.72</c:v>
                </c:pt>
                <c:pt idx="4">
                  <c:v>-1910.1744000000001</c:v>
                </c:pt>
                <c:pt idx="5">
                  <c:v>-1948.3778880000002</c:v>
                </c:pt>
                <c:pt idx="6">
                  <c:v>-1987.3454457600003</c:v>
                </c:pt>
                <c:pt idx="7">
                  <c:v>-2027.0923546752003</c:v>
                </c:pt>
                <c:pt idx="8">
                  <c:v>-2067.6342017687043</c:v>
                </c:pt>
                <c:pt idx="9">
                  <c:v>-2108.9868858040786</c:v>
                </c:pt>
                <c:pt idx="10">
                  <c:v>-2151.1666235201601</c:v>
                </c:pt>
                <c:pt idx="11">
                  <c:v>-2194.1899559905632</c:v>
                </c:pt>
                <c:pt idx="12">
                  <c:v>-2238.0737551103743</c:v>
                </c:pt>
                <c:pt idx="13">
                  <c:v>-2282.8352302125818</c:v>
                </c:pt>
                <c:pt idx="14">
                  <c:v>-2328.4919348168337</c:v>
                </c:pt>
                <c:pt idx="15">
                  <c:v>-2375.0617735131705</c:v>
                </c:pt>
                <c:pt idx="16">
                  <c:v>-2422.563008983434</c:v>
                </c:pt>
                <c:pt idx="17">
                  <c:v>-2471.0142691631027</c:v>
                </c:pt>
                <c:pt idx="18">
                  <c:v>-2520.4345545463648</c:v>
                </c:pt>
                <c:pt idx="19">
                  <c:v>-2570.8432456372921</c:v>
                </c:pt>
                <c:pt idx="20">
                  <c:v>-2622.260110550038</c:v>
                </c:pt>
                <c:pt idx="21">
                  <c:v>-2674.7053127610388</c:v>
                </c:pt>
                <c:pt idx="22">
                  <c:v>-2728.1994190162595</c:v>
                </c:pt>
                <c:pt idx="23">
                  <c:v>-2782.7634073965846</c:v>
                </c:pt>
                <c:pt idx="24">
                  <c:v>-2838.4186755445162</c:v>
                </c:pt>
                <c:pt idx="25">
                  <c:v>-2895.1870490554065</c:v>
                </c:pt>
                <c:pt idx="26">
                  <c:v>-2953.0907900365146</c:v>
                </c:pt>
                <c:pt idx="27">
                  <c:v>-3012.1526058372451</c:v>
                </c:pt>
                <c:pt idx="28">
                  <c:v>-3072.3956579539899</c:v>
                </c:pt>
                <c:pt idx="29">
                  <c:v>-3133.8435711130696</c:v>
                </c:pt>
                <c:pt idx="30">
                  <c:v>-3196.5204425353309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berekening'!$F$133:$AJ$133</c15:sqref>
                        </c15:formulaRef>
                      </c:ext>
                    </c:extLst>
                    <c:strCache>
                      <c:ptCount val="31"/>
                      <c:pt idx="0">
                        <c:v>Begin 2016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tx>
            <c:strRef>
              <c:f>'Grafieken en berekening'!$B$156</c:f>
              <c:strCache>
                <c:ptCount val="1"/>
                <c:pt idx="0">
                  <c:v>Vaste lasten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'Grafieken en berekening'!$F$156:$AJ$156</c:f>
              <c:numCache>
                <c:formatCode>_ * #,##0_ ;_ * \-#,##0_ ;_ * "-"??_ ;_ @_ </c:formatCode>
                <c:ptCount val="31"/>
                <c:pt idx="0">
                  <c:v>0</c:v>
                </c:pt>
                <c:pt idx="1">
                  <c:v>-3600</c:v>
                </c:pt>
                <c:pt idx="2">
                  <c:v>-3681</c:v>
                </c:pt>
                <c:pt idx="3">
                  <c:v>-3763.8224999999998</c:v>
                </c:pt>
                <c:pt idx="4">
                  <c:v>-3848.5085062499998</c:v>
                </c:pt>
                <c:pt idx="5">
                  <c:v>-3935.0999476406246</c:v>
                </c:pt>
                <c:pt idx="6">
                  <c:v>-4023.6396964625383</c:v>
                </c:pt>
                <c:pt idx="7">
                  <c:v>-4114.1715896329451</c:v>
                </c:pt>
                <c:pt idx="8">
                  <c:v>-4206.7404503996859</c:v>
                </c:pt>
                <c:pt idx="9">
                  <c:v>-4301.3921105336785</c:v>
                </c:pt>
                <c:pt idx="10">
                  <c:v>-4398.1734330206864</c:v>
                </c:pt>
                <c:pt idx="11">
                  <c:v>-4497.1323352636518</c:v>
                </c:pt>
                <c:pt idx="12">
                  <c:v>-4598.317812807084</c:v>
                </c:pt>
                <c:pt idx="13">
                  <c:v>-4701.7799635952433</c:v>
                </c:pt>
                <c:pt idx="14">
                  <c:v>-4807.5700127761365</c:v>
                </c:pt>
                <c:pt idx="15">
                  <c:v>-4915.7403380635997</c:v>
                </c:pt>
                <c:pt idx="16">
                  <c:v>-5026.3444956700305</c:v>
                </c:pt>
                <c:pt idx="17">
                  <c:v>-5139.4372468226056</c:v>
                </c:pt>
                <c:pt idx="18">
                  <c:v>-5255.0745848761144</c:v>
                </c:pt>
                <c:pt idx="19">
                  <c:v>-5373.3137630358269</c:v>
                </c:pt>
                <c:pt idx="20">
                  <c:v>-5494.2133227041331</c:v>
                </c:pt>
                <c:pt idx="21">
                  <c:v>-5617.8331224649755</c:v>
                </c:pt>
                <c:pt idx="22">
                  <c:v>-5744.2343677204371</c:v>
                </c:pt>
                <c:pt idx="23">
                  <c:v>-5873.4796409941464</c:v>
                </c:pt>
                <c:pt idx="24">
                  <c:v>-6005.6329329165146</c:v>
                </c:pt>
                <c:pt idx="25">
                  <c:v>-6140.7596739071359</c:v>
                </c:pt>
                <c:pt idx="26">
                  <c:v>-6278.9267665700463</c:v>
                </c:pt>
                <c:pt idx="27">
                  <c:v>-6420.2026188178725</c:v>
                </c:pt>
                <c:pt idx="28">
                  <c:v>-6564.6571777412746</c:v>
                </c:pt>
                <c:pt idx="29">
                  <c:v>-6712.3619642404528</c:v>
                </c:pt>
                <c:pt idx="30">
                  <c:v>-6863.3901084358631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berekening'!$F$133:$AJ$133</c15:sqref>
                        </c15:formulaRef>
                      </c:ext>
                    </c:extLst>
                    <c:strCache>
                      <c:ptCount val="31"/>
                      <c:pt idx="0">
                        <c:v>Begin 2016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tx>
            <c:strRef>
              <c:f>'Grafieken en berekening'!$B$157</c:f>
              <c:strCache>
                <c:ptCount val="1"/>
                <c:pt idx="0">
                  <c:v>BTW-schade onderhoud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'Grafieken en berekening'!$F$157:$AJ$157</c:f>
              <c:numCache>
                <c:formatCode>_ * #,##0_ ;_ * \-#,##0_ ;_ * "-"??_ ;_ @_ </c:formatCode>
                <c:ptCount val="31"/>
                <c:pt idx="0">
                  <c:v>0</c:v>
                </c:pt>
                <c:pt idx="1">
                  <c:v>-2016</c:v>
                </c:pt>
                <c:pt idx="2">
                  <c:v>-2061.36</c:v>
                </c:pt>
                <c:pt idx="3">
                  <c:v>-2107.7406000000001</c:v>
                </c:pt>
                <c:pt idx="4">
                  <c:v>-2155.1647634999999</c:v>
                </c:pt>
                <c:pt idx="5">
                  <c:v>-2203.6559706787498</c:v>
                </c:pt>
                <c:pt idx="6">
                  <c:v>-2253.2382300190216</c:v>
                </c:pt>
                <c:pt idx="7">
                  <c:v>-2303.9360901944497</c:v>
                </c:pt>
                <c:pt idx="8">
                  <c:v>-2355.7746522238249</c:v>
                </c:pt>
                <c:pt idx="9">
                  <c:v>-2408.7795818988611</c:v>
                </c:pt>
                <c:pt idx="10">
                  <c:v>-2462.9771224915853</c:v>
                </c:pt>
                <c:pt idx="11">
                  <c:v>-2518.3941077476461</c:v>
                </c:pt>
                <c:pt idx="12">
                  <c:v>-2575.0579751719679</c:v>
                </c:pt>
                <c:pt idx="13">
                  <c:v>-2632.9967796133369</c:v>
                </c:pt>
                <c:pt idx="14">
                  <c:v>-2692.2392071546369</c:v>
                </c:pt>
                <c:pt idx="15">
                  <c:v>-2752.8145893156161</c:v>
                </c:pt>
                <c:pt idx="16">
                  <c:v>-2814.7529175752175</c:v>
                </c:pt>
                <c:pt idx="17">
                  <c:v>-2878.0848582206595</c:v>
                </c:pt>
                <c:pt idx="18">
                  <c:v>-2942.8417675306241</c:v>
                </c:pt>
                <c:pt idx="19">
                  <c:v>-3009.0557073000637</c:v>
                </c:pt>
                <c:pt idx="20">
                  <c:v>-3076.7594607143146</c:v>
                </c:pt>
                <c:pt idx="21">
                  <c:v>-3145.9865485803866</c:v>
                </c:pt>
                <c:pt idx="22">
                  <c:v>-3216.7712459234449</c:v>
                </c:pt>
                <c:pt idx="23">
                  <c:v>-3289.1485989567227</c:v>
                </c:pt>
                <c:pt idx="24">
                  <c:v>-3363.1544424332492</c:v>
                </c:pt>
                <c:pt idx="25">
                  <c:v>-3438.8254173879964</c:v>
                </c:pt>
                <c:pt idx="26">
                  <c:v>-3516.1989892792262</c:v>
                </c:pt>
                <c:pt idx="27">
                  <c:v>-3595.3134665380089</c:v>
                </c:pt>
                <c:pt idx="28">
                  <c:v>-3676.2080195351136</c:v>
                </c:pt>
                <c:pt idx="29">
                  <c:v>-3758.9226999746534</c:v>
                </c:pt>
                <c:pt idx="30">
                  <c:v>-3843.4984607240835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berekening'!$F$133:$AJ$133</c15:sqref>
                        </c15:formulaRef>
                      </c:ext>
                    </c:extLst>
                    <c:strCache>
                      <c:ptCount val="31"/>
                      <c:pt idx="0">
                        <c:v>Begin 2016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tx>
            <c:strRef>
              <c:f>'Grafieken en berekening'!$B$158</c:f>
              <c:strCache>
                <c:ptCount val="1"/>
                <c:pt idx="0">
                  <c:v>Restwaarde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'Grafieken en berekening'!$F$158:$AJ$158</c:f>
              <c:numCache>
                <c:formatCode>_ * #,##0_ ;_ * \-#,##0_ ;_ * "-"??_ ;_ @_ 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534661.62592467212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berekening'!$F$133:$AJ$133</c15:sqref>
                        </c15:formulaRef>
                      </c:ext>
                    </c:extLst>
                    <c:strCache>
                      <c:ptCount val="31"/>
                      <c:pt idx="0">
                        <c:v>Begin 2016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tx>
            <c:strRef>
              <c:f>'Grafieken en berekening'!$B$159</c:f>
              <c:strCache>
                <c:ptCount val="1"/>
                <c:pt idx="0">
                  <c:v>Huur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'Grafieken en berekening'!$F$159:$AJ$159</c:f>
              <c:numCache>
                <c:formatCode>_ * #,##0_ ;_ * \-#,##0_ ;_ * "-"??_ ;_ @_ </c:formatCode>
                <c:ptCount val="31"/>
                <c:pt idx="0">
                  <c:v>0</c:v>
                </c:pt>
                <c:pt idx="1">
                  <c:v>98927.98904703233</c:v>
                </c:pt>
                <c:pt idx="2">
                  <c:v>100411.90888273783</c:v>
                </c:pt>
                <c:pt idx="3">
                  <c:v>101918.08751597891</c:v>
                </c:pt>
                <c:pt idx="4">
                  <c:v>103446.85882871861</c:v>
                </c:pt>
                <c:pt idx="5">
                  <c:v>104998.56171114941</c:v>
                </c:pt>
                <c:pt idx="6">
                  <c:v>106573.54013681666</c:v>
                </c:pt>
                <c:pt idx="7">
                  <c:v>108172.14323886893</c:v>
                </c:pt>
                <c:pt idx="8">
                  <c:v>109794.72538745198</c:v>
                </c:pt>
                <c:pt idx="9">
                  <c:v>111441.64626826378</c:v>
                </c:pt>
                <c:pt idx="10">
                  <c:v>113113.27096228774</c:v>
                </c:pt>
                <c:pt idx="11">
                  <c:v>114809.97002672208</c:v>
                </c:pt>
                <c:pt idx="12">
                  <c:v>116532.11957712292</c:v>
                </c:pt>
                <c:pt idx="13">
                  <c:v>118280.10137077978</c:v>
                </c:pt>
                <c:pt idx="14">
                  <c:v>120054.30289134149</c:v>
                </c:pt>
                <c:pt idx="15">
                  <c:v>121855.11743471163</c:v>
                </c:pt>
                <c:pt idx="16">
                  <c:v>123682.94419623232</c:v>
                </c:pt>
                <c:pt idx="17">
                  <c:v>125538.18835917582</c:v>
                </c:pt>
                <c:pt idx="18">
                  <c:v>127421.26118456348</c:v>
                </c:pt>
                <c:pt idx="19">
                  <c:v>129332.58010233195</c:v>
                </c:pt>
                <c:pt idx="20">
                  <c:v>131272.56880386695</c:v>
                </c:pt>
                <c:pt idx="21">
                  <c:v>133241.65733592497</c:v>
                </c:pt>
                <c:pt idx="22">
                  <c:v>135240.28219596387</c:v>
                </c:pt>
                <c:pt idx="23">
                  <c:v>137268.88642890335</c:v>
                </c:pt>
                <c:pt idx="24">
                  <c:v>139327.91972533692</c:v>
                </c:pt>
                <c:pt idx="25">
                  <c:v>141417.838521217</c:v>
                </c:pt>
                <c:pt idx="26">
                  <c:v>143539.10609903527</c:v>
                </c:pt>
                <c:pt idx="27">
                  <c:v>145692.19269052081</c:v>
                </c:pt>
                <c:pt idx="28">
                  <c:v>147877.57558087865</c:v>
                </c:pt>
                <c:pt idx="29">
                  <c:v>150095.73921459186</c:v>
                </c:pt>
                <c:pt idx="30">
                  <c:v>152347.17530281076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berekening'!$F$133:$AJ$133</c15:sqref>
                        </c15:formulaRef>
                      </c:ext>
                    </c:extLst>
                    <c:strCache>
                      <c:ptCount val="31"/>
                      <c:pt idx="0">
                        <c:v>Begin 2016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</c:strCache>
                  </c:strRef>
                </c15:cat>
              </c15:filteredCategoryTitle>
            </c:ext>
          </c:extLst>
        </c:ser>
        <c:ser>
          <c:idx val="7"/>
          <c:order val="7"/>
          <c:tx>
            <c:strRef>
              <c:f>'Grafieken en berekening'!$B$160</c:f>
              <c:strCache>
                <c:ptCount val="1"/>
                <c:pt idx="0">
                  <c:v>Rente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'Grafieken en berekening'!$F$160:$AJ$160</c:f>
              <c:numCache>
                <c:formatCode>_ * #,##0_ ;_ * \-#,##0_ ;_ * "-"??_ ;_ @_ </c:formatCode>
                <c:ptCount val="31"/>
                <c:pt idx="0">
                  <c:v>0</c:v>
                </c:pt>
                <c:pt idx="1">
                  <c:v>-60000</c:v>
                </c:pt>
                <c:pt idx="2">
                  <c:v>-59699.520438118707</c:v>
                </c:pt>
                <c:pt idx="3">
                  <c:v>-59355.759300333943</c:v>
                </c:pt>
                <c:pt idx="4">
                  <c:v>-58966.723495708145</c:v>
                </c:pt>
                <c:pt idx="5">
                  <c:v>-58530.340924177719</c:v>
                </c:pt>
                <c:pt idx="6">
                  <c:v>-58044.457430989132</c:v>
                </c:pt>
                <c:pt idx="7">
                  <c:v>-57506.833643369042</c:v>
                </c:pt>
                <c:pt idx="8">
                  <c:v>-56915.141684831273</c:v>
                </c:pt>
                <c:pt idx="9">
                  <c:v>-56266.961762342056</c:v>
                </c:pt>
                <c:pt idx="10">
                  <c:v>-55559.778621376965</c:v>
                </c:pt>
                <c:pt idx="11">
                  <c:v>-54790.977863707347</c:v>
                </c:pt>
                <c:pt idx="12">
                  <c:v>-53957.842122550479</c:v>
                </c:pt>
                <c:pt idx="13">
                  <c:v>-53057.547089506392</c:v>
                </c:pt>
                <c:pt idx="14">
                  <c:v>-52087.157387484367</c:v>
                </c:pt>
                <c:pt idx="15">
                  <c:v>-51043.622283593621</c:v>
                </c:pt>
                <c:pt idx="16">
                  <c:v>-49923.771235734886</c:v>
                </c:pt>
                <c:pt idx="17">
                  <c:v>-48724.309266382814</c:v>
                </c:pt>
                <c:pt idx="18">
                  <c:v>-47441.812156792039</c:v>
                </c:pt>
                <c:pt idx="19">
                  <c:v>-46072.721454592938</c:v>
                </c:pt>
                <c:pt idx="20">
                  <c:v>-44613.339287465191</c:v>
                </c:pt>
                <c:pt idx="21">
                  <c:v>-43059.822975288953</c:v>
                </c:pt>
                <c:pt idx="22">
                  <c:v>-41408.179432873098</c:v>
                </c:pt>
                <c:pt idx="23">
                  <c:v>-39654.259355047994</c:v>
                </c:pt>
                <c:pt idx="24">
                  <c:v>-37793.75117558612</c:v>
                </c:pt>
                <c:pt idx="25">
                  <c:v>-35822.174791076257</c:v>
                </c:pt>
                <c:pt idx="26">
                  <c:v>-33734.875040526553</c:v>
                </c:pt>
                <c:pt idx="27">
                  <c:v>-31527.014931106976</c:v>
                </c:pt>
                <c:pt idx="28">
                  <c:v>-29193.568600062914</c:v>
                </c:pt>
                <c:pt idx="29">
                  <c:v>-26729.314002437171</c:v>
                </c:pt>
                <c:pt idx="30">
                  <c:v>-24128.825313828234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berekening'!$F$133:$AJ$133</c15:sqref>
                        </c15:formulaRef>
                      </c:ext>
                    </c:extLst>
                    <c:strCache>
                      <c:ptCount val="31"/>
                      <c:pt idx="0">
                        <c:v>Begin 2016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21934600"/>
        <c:axId val="521937344"/>
      </c:barChart>
      <c:lineChart>
        <c:grouping val="standard"/>
        <c:varyColors val="0"/>
        <c:ser>
          <c:idx val="8"/>
          <c:order val="8"/>
          <c:tx>
            <c:strRef>
              <c:f>'Grafieken en berekening'!$B$161</c:f>
              <c:strCache>
                <c:ptCount val="1"/>
                <c:pt idx="0">
                  <c:v>Saldo incl. rente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'Grafieken en berekening'!$F$161:$AJ$161</c:f>
              <c:numCache>
                <c:formatCode>_ * #,##0_ ;_ * \-#,##0_ ;_ * "-"??_ ;_ @_ </c:formatCode>
                <c:ptCount val="31"/>
                <c:pt idx="0">
                  <c:v>-1500000</c:v>
                </c:pt>
                <c:pt idx="1">
                  <c:v>-1492488.0109529677</c:v>
                </c:pt>
                <c:pt idx="2">
                  <c:v>-1483893.9825083485</c:v>
                </c:pt>
                <c:pt idx="3">
                  <c:v>-1474168.0873927036</c:v>
                </c:pt>
                <c:pt idx="4">
                  <c:v>-1463258.523104443</c:v>
                </c:pt>
                <c:pt idx="5">
                  <c:v>-1451111.4357747282</c:v>
                </c:pt>
                <c:pt idx="6">
                  <c:v>-1437670.841084226</c:v>
                </c:pt>
                <c:pt idx="7">
                  <c:v>-1422878.5421207817</c:v>
                </c:pt>
                <c:pt idx="8">
                  <c:v>-1406674.0440585513</c:v>
                </c:pt>
                <c:pt idx="9">
                  <c:v>-1388994.4655344242</c:v>
                </c:pt>
                <c:pt idx="10">
                  <c:v>-1369774.4465926837</c:v>
                </c:pt>
                <c:pt idx="11">
                  <c:v>-1348946.0530637619</c:v>
                </c:pt>
                <c:pt idx="12">
                  <c:v>-1326438.6772376597</c:v>
                </c:pt>
                <c:pt idx="13">
                  <c:v>-1302178.9346871092</c:v>
                </c:pt>
                <c:pt idx="14">
                  <c:v>-1276090.5570898405</c:v>
                </c:pt>
                <c:pt idx="15">
                  <c:v>-1248094.2808933721</c:v>
                </c:pt>
                <c:pt idx="16">
                  <c:v>-1218107.7316595702</c:v>
                </c:pt>
                <c:pt idx="17">
                  <c:v>-1186045.303919801</c:v>
                </c:pt>
                <c:pt idx="18">
                  <c:v>-1151818.0363648233</c:v>
                </c:pt>
                <c:pt idx="19">
                  <c:v>-1115333.4821866297</c:v>
                </c:pt>
                <c:pt idx="20">
                  <c:v>-1076495.5743822239</c:v>
                </c:pt>
                <c:pt idx="21">
                  <c:v>-1035204.4858218274</c:v>
                </c:pt>
                <c:pt idx="22">
                  <c:v>-991356.48387619981</c:v>
                </c:pt>
                <c:pt idx="23">
                  <c:v>-944843.77938965289</c:v>
                </c:pt>
                <c:pt idx="24">
                  <c:v>-895554.36977690645</c:v>
                </c:pt>
                <c:pt idx="25">
                  <c:v>-843371.87601316383</c:v>
                </c:pt>
                <c:pt idx="26">
                  <c:v>-788175.37327767443</c:v>
                </c:pt>
                <c:pt idx="27">
                  <c:v>-729839.21500157285</c:v>
                </c:pt>
                <c:pt idx="28">
                  <c:v>-668232.85006092931</c:v>
                </c:pt>
                <c:pt idx="29">
                  <c:v>-603220.63284570584</c:v>
                </c:pt>
                <c:pt idx="30">
                  <c:v>1.4388206182047725E-8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'Grafieken en berekening'!$F$133:$AJ$133</c15:sqref>
                        </c15:formulaRef>
                      </c:ext>
                    </c:extLst>
                    <c:strCache>
                      <c:ptCount val="31"/>
                      <c:pt idx="0">
                        <c:v>Begin 2016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34600"/>
        <c:axId val="521937344"/>
      </c:lineChart>
      <c:catAx>
        <c:axId val="52193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37344"/>
        <c:crosses val="autoZero"/>
        <c:auto val="1"/>
        <c:lblAlgn val="ctr"/>
        <c:lblOffset val="100"/>
        <c:noMultiLvlLbl val="0"/>
      </c:catAx>
      <c:valAx>
        <c:axId val="52193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3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Rekenvoorbeeld 3:</a:t>
            </a:r>
            <a:r>
              <a:rPr lang="en-US" b="1" baseline="0"/>
              <a:t> </a:t>
            </a:r>
            <a:r>
              <a:rPr lang="en-US" b="1"/>
              <a:t>DCF BW</a:t>
            </a:r>
            <a:r>
              <a:rPr lang="en-US" b="1" baseline="0"/>
              <a:t> looptijd afschrijftermijn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'Grafieken en berekening'!$B$167</c:f>
              <c:strCache>
                <c:ptCount val="1"/>
                <c:pt idx="0">
                  <c:v>Aanvangswaarde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'Grafieken en berekening'!$F$133:$AM$133</c15:sqref>
                  </c15:fullRef>
                </c:ext>
              </c:extLst>
              <c:f>'Grafieken en berekening'!$F$133:$AE$133</c:f>
              <c:strCache>
                <c:ptCount val="26"/>
                <c:pt idx="0">
                  <c:v>Begin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berekening'!$F$167:$AM$167</c15:sqref>
                  </c15:fullRef>
                </c:ext>
              </c:extLst>
              <c:f>'Grafieken en berekening'!$F$167:$AE$167</c:f>
              <c:numCache>
                <c:formatCode>_ * #,##0_ ;_ * \-#,##0_ ;_ * "-"??_ ;_ @_ </c:formatCode>
                <c:ptCount val="26"/>
                <c:pt idx="0">
                  <c:v>-1200000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'Grafieken en berekening'!$B$168</c:f>
              <c:strCache>
                <c:ptCount val="1"/>
                <c:pt idx="0">
                  <c:v>Onderhoud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'Grafieken en berekening'!$F$133:$AM$133</c15:sqref>
                  </c15:fullRef>
                </c:ext>
              </c:extLst>
              <c:f>'Grafieken en berekening'!$F$133:$AE$133</c:f>
              <c:strCache>
                <c:ptCount val="26"/>
                <c:pt idx="0">
                  <c:v>Begin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berekening'!$F$168:$AM$168</c15:sqref>
                  </c15:fullRef>
                </c:ext>
              </c:extLst>
              <c:f>'Grafieken en berekening'!$F$168:$AE$168</c:f>
              <c:numCache>
                <c:formatCode>_ * #,##0_ ;_ * \-#,##0_ ;_ * "-"??_ ;_ @_ </c:formatCode>
                <c:ptCount val="26"/>
                <c:pt idx="0">
                  <c:v>0</c:v>
                </c:pt>
                <c:pt idx="1">
                  <c:v>-24000</c:v>
                </c:pt>
                <c:pt idx="2">
                  <c:v>-24540</c:v>
                </c:pt>
                <c:pt idx="3">
                  <c:v>-25092.149999999998</c:v>
                </c:pt>
                <c:pt idx="4">
                  <c:v>-25656.723374999998</c:v>
                </c:pt>
                <c:pt idx="5">
                  <c:v>-26233.999650937498</c:v>
                </c:pt>
                <c:pt idx="6">
                  <c:v>-26824.264643083592</c:v>
                </c:pt>
                <c:pt idx="7">
                  <c:v>-27427.810597552972</c:v>
                </c:pt>
                <c:pt idx="8">
                  <c:v>-28044.936335997914</c:v>
                </c:pt>
                <c:pt idx="9">
                  <c:v>-28675.947403557868</c:v>
                </c:pt>
                <c:pt idx="10">
                  <c:v>-29321.15622013792</c:v>
                </c:pt>
                <c:pt idx="11">
                  <c:v>-29980.882235091023</c:v>
                </c:pt>
                <c:pt idx="12">
                  <c:v>-30655.45208538057</c:v>
                </c:pt>
                <c:pt idx="13">
                  <c:v>-31345.199757301631</c:v>
                </c:pt>
                <c:pt idx="14">
                  <c:v>-32050.466751840915</c:v>
                </c:pt>
                <c:pt idx="15">
                  <c:v>-32771.602253757337</c:v>
                </c:pt>
                <c:pt idx="16">
                  <c:v>-33508.963304466874</c:v>
                </c:pt>
                <c:pt idx="17">
                  <c:v>-34262.914978817375</c:v>
                </c:pt>
                <c:pt idx="18">
                  <c:v>-35033.830565840763</c:v>
                </c:pt>
                <c:pt idx="19">
                  <c:v>-35822.091753572182</c:v>
                </c:pt>
                <c:pt idx="20">
                  <c:v>-36628.088818027558</c:v>
                </c:pt>
                <c:pt idx="21">
                  <c:v>-37452.220816433175</c:v>
                </c:pt>
                <c:pt idx="22">
                  <c:v>-38294.895784802917</c:v>
                </c:pt>
                <c:pt idx="23">
                  <c:v>-39156.530939960983</c:v>
                </c:pt>
                <c:pt idx="24">
                  <c:v>-40037.552886110105</c:v>
                </c:pt>
                <c:pt idx="25">
                  <c:v>-40938.397826047578</c:v>
                </c:pt>
              </c:numCache>
            </c:numRef>
          </c:val>
        </c:ser>
        <c:ser>
          <c:idx val="2"/>
          <c:order val="2"/>
          <c:tx>
            <c:strRef>
              <c:f>'Grafieken en berekening'!$B$169</c:f>
              <c:strCache>
                <c:ptCount val="1"/>
                <c:pt idx="0">
                  <c:v>Beheerlasten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'Grafieken en berekening'!$F$133:$AM$133</c15:sqref>
                  </c15:fullRef>
                </c:ext>
              </c:extLst>
              <c:f>'Grafieken en berekening'!$F$133:$AE$133</c:f>
              <c:strCache>
                <c:ptCount val="26"/>
                <c:pt idx="0">
                  <c:v>Begin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berekening'!$F$169:$AM$169</c15:sqref>
                  </c15:fullRef>
                </c:ext>
              </c:extLst>
              <c:f>'Grafieken en berekening'!$F$169:$AE$169</c:f>
              <c:numCache>
                <c:formatCode>_ * #,##0_ ;_ * \-#,##0_ ;_ * "-"??_ ;_ @_ </c:formatCode>
                <c:ptCount val="26"/>
                <c:pt idx="0">
                  <c:v>0</c:v>
                </c:pt>
                <c:pt idx="1">
                  <c:v>-1800</c:v>
                </c:pt>
                <c:pt idx="2">
                  <c:v>-1836</c:v>
                </c:pt>
                <c:pt idx="3">
                  <c:v>-1872.72</c:v>
                </c:pt>
                <c:pt idx="4">
                  <c:v>-1910.1744000000001</c:v>
                </c:pt>
                <c:pt idx="5">
                  <c:v>-1948.3778880000002</c:v>
                </c:pt>
                <c:pt idx="6">
                  <c:v>-1987.3454457600003</c:v>
                </c:pt>
                <c:pt idx="7">
                  <c:v>-2027.0923546752003</c:v>
                </c:pt>
                <c:pt idx="8">
                  <c:v>-2067.6342017687043</c:v>
                </c:pt>
                <c:pt idx="9">
                  <c:v>-2108.9868858040786</c:v>
                </c:pt>
                <c:pt idx="10">
                  <c:v>-2151.1666235201601</c:v>
                </c:pt>
                <c:pt idx="11">
                  <c:v>-2194.1899559905632</c:v>
                </c:pt>
                <c:pt idx="12">
                  <c:v>-2238.0737551103743</c:v>
                </c:pt>
                <c:pt idx="13">
                  <c:v>-2282.8352302125818</c:v>
                </c:pt>
                <c:pt idx="14">
                  <c:v>-2328.4919348168337</c:v>
                </c:pt>
                <c:pt idx="15">
                  <c:v>-2375.0617735131705</c:v>
                </c:pt>
                <c:pt idx="16">
                  <c:v>-2422.563008983434</c:v>
                </c:pt>
                <c:pt idx="17">
                  <c:v>-2471.0142691631027</c:v>
                </c:pt>
                <c:pt idx="18">
                  <c:v>-2520.4345545463648</c:v>
                </c:pt>
                <c:pt idx="19">
                  <c:v>-2570.8432456372921</c:v>
                </c:pt>
                <c:pt idx="20">
                  <c:v>-2622.260110550038</c:v>
                </c:pt>
                <c:pt idx="21">
                  <c:v>-2674.7053127610388</c:v>
                </c:pt>
                <c:pt idx="22">
                  <c:v>-2728.1994190162595</c:v>
                </c:pt>
                <c:pt idx="23">
                  <c:v>-2782.7634073965846</c:v>
                </c:pt>
                <c:pt idx="24">
                  <c:v>-2838.4186755445162</c:v>
                </c:pt>
                <c:pt idx="25">
                  <c:v>-2895.1870490554065</c:v>
                </c:pt>
              </c:numCache>
            </c:numRef>
          </c:val>
        </c:ser>
        <c:ser>
          <c:idx val="3"/>
          <c:order val="3"/>
          <c:tx>
            <c:strRef>
              <c:f>'Grafieken en berekening'!$B$170</c:f>
              <c:strCache>
                <c:ptCount val="1"/>
                <c:pt idx="0">
                  <c:v>Vaste lasten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'Grafieken en berekening'!$F$133:$AM$133</c15:sqref>
                  </c15:fullRef>
                </c:ext>
              </c:extLst>
              <c:f>'Grafieken en berekening'!$F$133:$AE$133</c:f>
              <c:strCache>
                <c:ptCount val="26"/>
                <c:pt idx="0">
                  <c:v>Begin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berekening'!$F$170:$AM$170</c15:sqref>
                  </c15:fullRef>
                </c:ext>
              </c:extLst>
              <c:f>'Grafieken en berekening'!$F$170:$AE$170</c:f>
              <c:numCache>
                <c:formatCode>_ * #,##0_ ;_ * \-#,##0_ ;_ * "-"??_ ;_ @_ </c:formatCode>
                <c:ptCount val="26"/>
                <c:pt idx="0">
                  <c:v>0</c:v>
                </c:pt>
                <c:pt idx="1">
                  <c:v>-3600</c:v>
                </c:pt>
                <c:pt idx="2">
                  <c:v>-3681</c:v>
                </c:pt>
                <c:pt idx="3">
                  <c:v>-3763.8224999999998</c:v>
                </c:pt>
                <c:pt idx="4">
                  <c:v>-3848.5085062499998</c:v>
                </c:pt>
                <c:pt idx="5">
                  <c:v>-3935.0999476406246</c:v>
                </c:pt>
                <c:pt idx="6">
                  <c:v>-4023.6396964625383</c:v>
                </c:pt>
                <c:pt idx="7">
                  <c:v>-4114.1715896329451</c:v>
                </c:pt>
                <c:pt idx="8">
                  <c:v>-4206.7404503996859</c:v>
                </c:pt>
                <c:pt idx="9">
                  <c:v>-4301.3921105336785</c:v>
                </c:pt>
                <c:pt idx="10">
                  <c:v>-4398.1734330206864</c:v>
                </c:pt>
                <c:pt idx="11">
                  <c:v>-4497.1323352636518</c:v>
                </c:pt>
                <c:pt idx="12">
                  <c:v>-4598.317812807084</c:v>
                </c:pt>
                <c:pt idx="13">
                  <c:v>-4701.7799635952433</c:v>
                </c:pt>
                <c:pt idx="14">
                  <c:v>-4807.5700127761365</c:v>
                </c:pt>
                <c:pt idx="15">
                  <c:v>-4915.7403380635997</c:v>
                </c:pt>
                <c:pt idx="16">
                  <c:v>-5026.3444956700305</c:v>
                </c:pt>
                <c:pt idx="17">
                  <c:v>-5139.4372468226056</c:v>
                </c:pt>
                <c:pt idx="18">
                  <c:v>-5255.0745848761144</c:v>
                </c:pt>
                <c:pt idx="19">
                  <c:v>-5373.3137630358269</c:v>
                </c:pt>
                <c:pt idx="20">
                  <c:v>-5494.2133227041331</c:v>
                </c:pt>
                <c:pt idx="21">
                  <c:v>-5617.8331224649755</c:v>
                </c:pt>
                <c:pt idx="22">
                  <c:v>-5744.2343677204371</c:v>
                </c:pt>
                <c:pt idx="23">
                  <c:v>-5873.4796409941464</c:v>
                </c:pt>
                <c:pt idx="24">
                  <c:v>-6005.6329329165146</c:v>
                </c:pt>
                <c:pt idx="25">
                  <c:v>-6140.7596739071359</c:v>
                </c:pt>
              </c:numCache>
            </c:numRef>
          </c:val>
        </c:ser>
        <c:ser>
          <c:idx val="4"/>
          <c:order val="4"/>
          <c:tx>
            <c:strRef>
              <c:f>'Grafieken en berekening'!$B$171</c:f>
              <c:strCache>
                <c:ptCount val="1"/>
                <c:pt idx="0">
                  <c:v>BTW-schade onderhoud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'Grafieken en berekening'!$F$133:$AM$133</c15:sqref>
                  </c15:fullRef>
                </c:ext>
              </c:extLst>
              <c:f>'Grafieken en berekening'!$F$133:$AE$133</c:f>
              <c:strCache>
                <c:ptCount val="26"/>
                <c:pt idx="0">
                  <c:v>Begin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berekening'!$F$171:$AM$171</c15:sqref>
                  </c15:fullRef>
                </c:ext>
              </c:extLst>
              <c:f>'Grafieken en berekening'!$F$171:$AE$171</c:f>
              <c:numCache>
                <c:formatCode>_ * #,##0_ ;_ * \-#,##0_ ;_ * "-"??_ ;_ @_ </c:formatCode>
                <c:ptCount val="26"/>
                <c:pt idx="0">
                  <c:v>0</c:v>
                </c:pt>
                <c:pt idx="1">
                  <c:v>-2016</c:v>
                </c:pt>
                <c:pt idx="2">
                  <c:v>-2061.36</c:v>
                </c:pt>
                <c:pt idx="3">
                  <c:v>-2107.7406000000001</c:v>
                </c:pt>
                <c:pt idx="4">
                  <c:v>-2155.1647634999999</c:v>
                </c:pt>
                <c:pt idx="5">
                  <c:v>-2203.6559706787498</c:v>
                </c:pt>
                <c:pt idx="6">
                  <c:v>-2253.2382300190216</c:v>
                </c:pt>
                <c:pt idx="7">
                  <c:v>-2303.9360901944497</c:v>
                </c:pt>
                <c:pt idx="8">
                  <c:v>-2355.7746522238249</c:v>
                </c:pt>
                <c:pt idx="9">
                  <c:v>-2408.7795818988611</c:v>
                </c:pt>
                <c:pt idx="10">
                  <c:v>-2462.9771224915853</c:v>
                </c:pt>
                <c:pt idx="11">
                  <c:v>-2518.3941077476461</c:v>
                </c:pt>
                <c:pt idx="12">
                  <c:v>-2575.0579751719679</c:v>
                </c:pt>
                <c:pt idx="13">
                  <c:v>-2632.9967796133369</c:v>
                </c:pt>
                <c:pt idx="14">
                  <c:v>-2692.2392071546369</c:v>
                </c:pt>
                <c:pt idx="15">
                  <c:v>-2752.8145893156161</c:v>
                </c:pt>
                <c:pt idx="16">
                  <c:v>-2814.7529175752175</c:v>
                </c:pt>
                <c:pt idx="17">
                  <c:v>-2878.0848582206595</c:v>
                </c:pt>
                <c:pt idx="18">
                  <c:v>-2942.8417675306241</c:v>
                </c:pt>
                <c:pt idx="19">
                  <c:v>-3009.0557073000637</c:v>
                </c:pt>
                <c:pt idx="20">
                  <c:v>-3076.7594607143146</c:v>
                </c:pt>
                <c:pt idx="21">
                  <c:v>-3145.9865485803866</c:v>
                </c:pt>
                <c:pt idx="22">
                  <c:v>-3216.7712459234449</c:v>
                </c:pt>
                <c:pt idx="23">
                  <c:v>-3289.1485989567227</c:v>
                </c:pt>
                <c:pt idx="24">
                  <c:v>-3363.1544424332492</c:v>
                </c:pt>
                <c:pt idx="25">
                  <c:v>-3438.8254173879964</c:v>
                </c:pt>
              </c:numCache>
            </c:numRef>
          </c:val>
        </c:ser>
        <c:ser>
          <c:idx val="5"/>
          <c:order val="5"/>
          <c:tx>
            <c:strRef>
              <c:f>'Grafieken en berekening'!$B$172</c:f>
              <c:strCache>
                <c:ptCount val="1"/>
                <c:pt idx="0">
                  <c:v>Restwaarde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'Grafieken en berekening'!$F$133:$AM$133</c15:sqref>
                  </c15:fullRef>
                </c:ext>
              </c:extLst>
              <c:f>'Grafieken en berekening'!$F$133:$AE$133</c:f>
              <c:strCache>
                <c:ptCount val="26"/>
                <c:pt idx="0">
                  <c:v>Begin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berekening'!$F$172:$AM$172</c15:sqref>
                  </c15:fullRef>
                </c:ext>
              </c:extLst>
              <c:f>'Grafieken en berekening'!$F$172:$AE$172</c:f>
              <c:numCache>
                <c:formatCode>_ * #,##0_ ;_ * \-#,##0_ ;_ * "-"??_ ;_ @_ 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300000</c:v>
                </c:pt>
              </c:numCache>
            </c:numRef>
          </c:val>
        </c:ser>
        <c:ser>
          <c:idx val="6"/>
          <c:order val="6"/>
          <c:tx>
            <c:strRef>
              <c:f>'Grafieken en berekening'!$B$173</c:f>
              <c:strCache>
                <c:ptCount val="1"/>
                <c:pt idx="0">
                  <c:v>Huur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'Grafieken en berekening'!$F$133:$AM$133</c15:sqref>
                  </c15:fullRef>
                </c:ext>
              </c:extLst>
              <c:f>'Grafieken en berekening'!$F$133:$AE$133</c:f>
              <c:strCache>
                <c:ptCount val="26"/>
                <c:pt idx="0">
                  <c:v>Begin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berekening'!$F$173:$AM$173</c15:sqref>
                  </c15:fullRef>
                </c:ext>
              </c:extLst>
              <c:f>'Grafieken en berekening'!$F$173:$AE$173</c:f>
              <c:numCache>
                <c:formatCode>_ * #,##0_ ;_ * \-#,##0_ ;_ * "-"??_ ;_ @_ </c:formatCode>
                <c:ptCount val="26"/>
                <c:pt idx="0">
                  <c:v>0</c:v>
                </c:pt>
                <c:pt idx="1">
                  <c:v>93652.227101996017</c:v>
                </c:pt>
                <c:pt idx="2">
                  <c:v>95057.010508525971</c:v>
                </c:pt>
                <c:pt idx="3">
                  <c:v>96482.86566615387</c:v>
                </c:pt>
                <c:pt idx="4">
                  <c:v>97930.108651146191</c:v>
                </c:pt>
                <c:pt idx="5">
                  <c:v>99399.0602809134</c:v>
                </c:pt>
                <c:pt idx="6">
                  <c:v>100890.04618512711</c:v>
                </c:pt>
                <c:pt idx="7">
                  <c:v>102403.39687790403</c:v>
                </c:pt>
                <c:pt idx="8">
                  <c:v>103939.4478310726</c:v>
                </c:pt>
                <c:pt idx="9">
                  <c:v>105498.5395485387</c:v>
                </c:pt>
                <c:pt idx="10">
                  <c:v>107081.0176417668</c:v>
                </c:pt>
                <c:pt idx="11">
                  <c:v>108687.23290639331</c:v>
                </c:pt>
                <c:pt idx="12">
                  <c:v>110317.54139998923</c:v>
                </c:pt>
                <c:pt idx="13">
                  <c:v>111972.30452098908</c:v>
                </c:pt>
                <c:pt idx="14">
                  <c:v>113651.88908880393</c:v>
                </c:pt>
                <c:pt idx="15">
                  <c:v>115356.66742513601</c:v>
                </c:pt>
                <c:pt idx="16">
                  <c:v>117087.01743651307</c:v>
                </c:pt>
                <c:pt idx="17">
                  <c:v>118843.32269806077</c:v>
                </c:pt>
                <c:pt idx="18">
                  <c:v>120625.9725385317</c:v>
                </c:pt>
                <c:pt idx="19">
                  <c:v>122435.36212660969</c:v>
                </c:pt>
                <c:pt idx="20">
                  <c:v>124271.89255850884</c:v>
                </c:pt>
                <c:pt idx="21">
                  <c:v>126135.97094688649</c:v>
                </c:pt>
                <c:pt idx="22">
                  <c:v>128028.0105110898</c:v>
                </c:pt>
                <c:pt idx="23">
                  <c:v>129948.43066875616</c:v>
                </c:pt>
                <c:pt idx="24">
                  <c:v>131897.65712878751</c:v>
                </c:pt>
                <c:pt idx="25">
                  <c:v>133876.12198571934</c:v>
                </c:pt>
              </c:numCache>
            </c:numRef>
          </c:val>
        </c:ser>
        <c:ser>
          <c:idx val="7"/>
          <c:order val="7"/>
          <c:tx>
            <c:strRef>
              <c:f>'Grafieken en berekening'!$B$174</c:f>
              <c:strCache>
                <c:ptCount val="1"/>
                <c:pt idx="0">
                  <c:v>Rente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'Grafieken en berekening'!$F$133:$AM$133</c15:sqref>
                  </c15:fullRef>
                </c:ext>
              </c:extLst>
              <c:f>'Grafieken en berekening'!$F$133:$AE$133</c:f>
              <c:strCache>
                <c:ptCount val="26"/>
                <c:pt idx="0">
                  <c:v>Begin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berekening'!$F$174:$AM$174</c15:sqref>
                  </c15:fullRef>
                </c:ext>
              </c:extLst>
              <c:f>'Grafieken en berekening'!$F$174:$AE$174</c:f>
              <c:numCache>
                <c:formatCode>_ * #,##0_ ;_ * \-#,##0_ ;_ * "-"??_ ;_ @_ </c:formatCode>
                <c:ptCount val="26"/>
                <c:pt idx="0">
                  <c:v>0</c:v>
                </c:pt>
                <c:pt idx="1">
                  <c:v>-48000</c:v>
                </c:pt>
                <c:pt idx="2">
                  <c:v>-47430.550915920161</c:v>
                </c:pt>
                <c:pt idx="3">
                  <c:v>-46810.226932215926</c:v>
                </c:pt>
                <c:pt idx="4">
                  <c:v>-46136.778706858408</c:v>
                </c:pt>
                <c:pt idx="5">
                  <c:v>-45407.868350876895</c:v>
                </c:pt>
                <c:pt idx="6">
                  <c:v>-44621.066011965711</c:v>
                </c:pt>
                <c:pt idx="7">
                  <c:v>-43773.846325652266</c:v>
                </c:pt>
                <c:pt idx="8">
                  <c:v>-42863.58472884442</c:v>
                </c:pt>
                <c:pt idx="9">
                  <c:v>-41887.553630370901</c:v>
                </c:pt>
                <c:pt idx="10">
                  <c:v>-40842.918432915969</c:v>
                </c:pt>
                <c:pt idx="11">
                  <c:v>-39726.733400528741</c:v>
                </c:pt>
                <c:pt idx="12">
                  <c:v>-38535.937365657875</c:v>
                </c:pt>
                <c:pt idx="13">
                  <c:v>-37267.349269423423</c:v>
                </c:pt>
                <c:pt idx="14">
                  <c:v>-35917.663528589706</c:v>
                </c:pt>
                <c:pt idx="15">
                  <c:v>-34483.445222444687</c:v>
                </c:pt>
                <c:pt idx="16">
                  <c:v>-32961.12509252302</c:v>
                </c:pt>
                <c:pt idx="17">
                  <c:v>-31346.994347831238</c:v>
                </c:pt>
                <c:pt idx="18">
                  <c:v>-29637.199267943008</c:v>
                </c:pt>
                <c:pt idx="19">
                  <c:v>-27827.735596031216</c:v>
                </c:pt>
                <c:pt idx="20">
                  <c:v>-25914.442713589891</c:v>
                </c:pt>
                <c:pt idx="21">
                  <c:v>-23892.997588272974</c:v>
                </c:pt>
                <c:pt idx="22">
                  <c:v>-21758.908485938016</c:v>
                </c:pt>
                <c:pt idx="23">
                  <c:v>-19507.508437630469</c:v>
                </c:pt>
                <c:pt idx="24">
                  <c:v>-17133.948451877779</c:v>
                </c:pt>
                <c:pt idx="25">
                  <c:v>-14633.190462281567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21939304"/>
        <c:axId val="521940480"/>
      </c:barChart>
      <c:lineChart>
        <c:grouping val="standard"/>
        <c:varyColors val="0"/>
        <c:ser>
          <c:idx val="8"/>
          <c:order val="8"/>
          <c:tx>
            <c:strRef>
              <c:f>'Grafieken en berekening'!$B$175</c:f>
              <c:strCache>
                <c:ptCount val="1"/>
                <c:pt idx="0">
                  <c:v>Saldo incl. rente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'Grafieken en berekening'!$F$133:$AL$133</c15:sqref>
                  </c15:fullRef>
                </c:ext>
              </c:extLst>
              <c:f>'Grafieken en berekening'!$F$133:$AE$133</c:f>
              <c:strCache>
                <c:ptCount val="26"/>
                <c:pt idx="0">
                  <c:v>Begin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berekening'!$F$175:$AM$175</c15:sqref>
                  </c15:fullRef>
                </c:ext>
              </c:extLst>
              <c:f>'Grafieken en berekening'!$F$175:$AE$175</c:f>
              <c:numCache>
                <c:formatCode>_ * #,##0_ ;_ * \-#,##0_ ;_ * "-"??_ ;_ @_ </c:formatCode>
                <c:ptCount val="26"/>
                <c:pt idx="0">
                  <c:v>-1200000</c:v>
                </c:pt>
                <c:pt idx="1">
                  <c:v>-1185763.7728980039</c:v>
                </c:pt>
                <c:pt idx="2">
                  <c:v>-1170255.6733053981</c:v>
                </c:pt>
                <c:pt idx="3">
                  <c:v>-1153419.4676714602</c:v>
                </c:pt>
                <c:pt idx="4">
                  <c:v>-1135196.7087719224</c:v>
                </c:pt>
                <c:pt idx="5">
                  <c:v>-1115526.6502991428</c:v>
                </c:pt>
                <c:pt idx="6">
                  <c:v>-1094346.1581413066</c:v>
                </c:pt>
                <c:pt idx="7">
                  <c:v>-1071589.6182211104</c:v>
                </c:pt>
                <c:pt idx="8">
                  <c:v>-1047188.8407592725</c:v>
                </c:pt>
                <c:pt idx="9">
                  <c:v>-1021072.9608228991</c:v>
                </c:pt>
                <c:pt idx="10">
                  <c:v>-993168.33501321857</c:v>
                </c:pt>
                <c:pt idx="11">
                  <c:v>-963398.43414144695</c:v>
                </c:pt>
                <c:pt idx="12">
                  <c:v>-931683.73173558561</c:v>
                </c:pt>
                <c:pt idx="13">
                  <c:v>-897941.58821474272</c:v>
                </c:pt>
                <c:pt idx="14">
                  <c:v>-862086.13056111708</c:v>
                </c:pt>
                <c:pt idx="15">
                  <c:v>-824028.12731307547</c:v>
                </c:pt>
                <c:pt idx="16">
                  <c:v>-783674.85869578097</c:v>
                </c:pt>
                <c:pt idx="17">
                  <c:v>-740929.9816985752</c:v>
                </c:pt>
                <c:pt idx="18">
                  <c:v>-695693.3899007804</c:v>
                </c:pt>
                <c:pt idx="19">
                  <c:v>-647861.06783974729</c:v>
                </c:pt>
                <c:pt idx="20">
                  <c:v>-597324.93970682437</c:v>
                </c:pt>
                <c:pt idx="21">
                  <c:v>-543972.71214845043</c:v>
                </c:pt>
                <c:pt idx="22">
                  <c:v>-487687.71094076172</c:v>
                </c:pt>
                <c:pt idx="23">
                  <c:v>-428348.71129694447</c:v>
                </c:pt>
                <c:pt idx="24">
                  <c:v>-365829.76155703916</c:v>
                </c:pt>
                <c:pt idx="25">
                  <c:v>4.765752237290144E-10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39304"/>
        <c:axId val="521940480"/>
      </c:lineChart>
      <c:catAx>
        <c:axId val="52193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40480"/>
        <c:crosses val="autoZero"/>
        <c:auto val="1"/>
        <c:lblAlgn val="ctr"/>
        <c:lblOffset val="100"/>
        <c:noMultiLvlLbl val="0"/>
      </c:catAx>
      <c:valAx>
        <c:axId val="52194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3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Rekenvoorbeeld 4: Kapitaalslasten BW looptijd afschrijftermijn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'Grafieken en berekening'!$B$178</c:f>
              <c:strCache>
                <c:ptCount val="1"/>
                <c:pt idx="0">
                  <c:v>Annuïteit (kapitaalslasten)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5"/>
              <c:pt idx="0">
                <c:v> 1 </c:v>
              </c:pt>
              <c:pt idx="1">
                <c:v> 2 </c:v>
              </c:pt>
              <c:pt idx="2">
                <c:v> 3 </c:v>
              </c:pt>
              <c:pt idx="3">
                <c:v> 4 </c:v>
              </c:pt>
              <c:pt idx="4">
                <c:v> 5 </c:v>
              </c:pt>
              <c:pt idx="5">
                <c:v> 6 </c:v>
              </c:pt>
              <c:pt idx="6">
                <c:v> 7 </c:v>
              </c:pt>
              <c:pt idx="7">
                <c:v> 8 </c:v>
              </c:pt>
              <c:pt idx="8">
                <c:v> 9 </c:v>
              </c:pt>
              <c:pt idx="9">
                <c:v> 10 </c:v>
              </c:pt>
              <c:pt idx="10">
                <c:v> 11 </c:v>
              </c:pt>
              <c:pt idx="11">
                <c:v> 12 </c:v>
              </c:pt>
              <c:pt idx="12">
                <c:v> 13 </c:v>
              </c:pt>
              <c:pt idx="13">
                <c:v> 14 </c:v>
              </c:pt>
              <c:pt idx="14">
                <c:v> 15 </c:v>
              </c:pt>
              <c:pt idx="15">
                <c:v> 16 </c:v>
              </c:pt>
              <c:pt idx="16">
                <c:v> 17 </c:v>
              </c:pt>
              <c:pt idx="17">
                <c:v> 18 </c:v>
              </c:pt>
              <c:pt idx="18">
                <c:v> 19 </c:v>
              </c:pt>
              <c:pt idx="19">
                <c:v> 20 </c:v>
              </c:pt>
              <c:pt idx="20">
                <c:v> 21 </c:v>
              </c:pt>
              <c:pt idx="21">
                <c:v> 22 </c:v>
              </c:pt>
              <c:pt idx="22">
                <c:v> 23 </c:v>
              </c:pt>
              <c:pt idx="23">
                <c:v> 24 </c:v>
              </c:pt>
              <c:pt idx="24">
                <c:v> 25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berekening'!$G$178:$AL$178</c15:sqref>
                  </c15:fullRef>
                </c:ext>
              </c:extLst>
              <c:f>'Grafieken en berekening'!$G$178:$AE$178</c:f>
              <c:numCache>
                <c:formatCode>_(* #,##0_);_(* \(#,##0\);_(* "-"??_);_(@_)</c:formatCode>
                <c:ptCount val="25"/>
                <c:pt idx="0">
                  <c:v>69610.766507809138</c:v>
                </c:pt>
                <c:pt idx="1">
                  <c:v>69610.766507809138</c:v>
                </c:pt>
                <c:pt idx="2">
                  <c:v>69610.766507809138</c:v>
                </c:pt>
                <c:pt idx="3">
                  <c:v>69610.766507809138</c:v>
                </c:pt>
                <c:pt idx="4">
                  <c:v>69610.766507809138</c:v>
                </c:pt>
                <c:pt idx="5">
                  <c:v>69610.766507809138</c:v>
                </c:pt>
                <c:pt idx="6">
                  <c:v>69610.766507809138</c:v>
                </c:pt>
                <c:pt idx="7">
                  <c:v>69610.766507809138</c:v>
                </c:pt>
                <c:pt idx="8">
                  <c:v>69610.766507809138</c:v>
                </c:pt>
                <c:pt idx="9">
                  <c:v>69610.766507809138</c:v>
                </c:pt>
                <c:pt idx="10">
                  <c:v>69610.766507809138</c:v>
                </c:pt>
                <c:pt idx="11">
                  <c:v>69610.766507809138</c:v>
                </c:pt>
                <c:pt idx="12">
                  <c:v>69610.766507809138</c:v>
                </c:pt>
                <c:pt idx="13">
                  <c:v>69610.766507809138</c:v>
                </c:pt>
                <c:pt idx="14">
                  <c:v>69610.766507809138</c:v>
                </c:pt>
                <c:pt idx="15">
                  <c:v>69610.766507809138</c:v>
                </c:pt>
                <c:pt idx="16">
                  <c:v>69610.766507809138</c:v>
                </c:pt>
                <c:pt idx="17">
                  <c:v>69610.766507809138</c:v>
                </c:pt>
                <c:pt idx="18">
                  <c:v>69610.766507809138</c:v>
                </c:pt>
                <c:pt idx="19">
                  <c:v>69610.766507809138</c:v>
                </c:pt>
                <c:pt idx="20">
                  <c:v>69610.766507809138</c:v>
                </c:pt>
                <c:pt idx="21">
                  <c:v>69610.766507809138</c:v>
                </c:pt>
                <c:pt idx="22">
                  <c:v>69610.766507809138</c:v>
                </c:pt>
                <c:pt idx="23">
                  <c:v>69610.766507809138</c:v>
                </c:pt>
                <c:pt idx="24">
                  <c:v>69610.766507809138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berekening'!$G$133:$AL$133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strRef>
              <c:f>'Grafieken en berekening'!$B$179</c:f>
              <c:strCache>
                <c:ptCount val="1"/>
                <c:pt idx="0">
                  <c:v>Onderhoud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berekening'!$G$179:$AL$179</c15:sqref>
                  </c15:fullRef>
                </c:ext>
              </c:extLst>
              <c:f>'Grafieken en berekening'!$G$179:$AE$179</c:f>
              <c:numCache>
                <c:formatCode>_(* #,##0_);_(* \(#,##0\);_(* "-"??_);_(@_)</c:formatCode>
                <c:ptCount val="25"/>
                <c:pt idx="0">
                  <c:v>24000</c:v>
                </c:pt>
                <c:pt idx="1">
                  <c:v>24540</c:v>
                </c:pt>
                <c:pt idx="2">
                  <c:v>25092.149999999998</c:v>
                </c:pt>
                <c:pt idx="3">
                  <c:v>25656.723374999998</c:v>
                </c:pt>
                <c:pt idx="4">
                  <c:v>26233.999650937498</c:v>
                </c:pt>
                <c:pt idx="5">
                  <c:v>26824.264643083592</c:v>
                </c:pt>
                <c:pt idx="6">
                  <c:v>27427.810597552972</c:v>
                </c:pt>
                <c:pt idx="7">
                  <c:v>28044.936335997914</c:v>
                </c:pt>
                <c:pt idx="8">
                  <c:v>28675.947403557868</c:v>
                </c:pt>
                <c:pt idx="9">
                  <c:v>29321.15622013792</c:v>
                </c:pt>
                <c:pt idx="10">
                  <c:v>29980.882235091023</c:v>
                </c:pt>
                <c:pt idx="11">
                  <c:v>30655.45208538057</c:v>
                </c:pt>
                <c:pt idx="12">
                  <c:v>31345.199757301631</c:v>
                </c:pt>
                <c:pt idx="13">
                  <c:v>32050.466751840915</c:v>
                </c:pt>
                <c:pt idx="14">
                  <c:v>32771.602253757337</c:v>
                </c:pt>
                <c:pt idx="15">
                  <c:v>33508.963304466874</c:v>
                </c:pt>
                <c:pt idx="16">
                  <c:v>34262.914978817375</c:v>
                </c:pt>
                <c:pt idx="17">
                  <c:v>35033.830565840763</c:v>
                </c:pt>
                <c:pt idx="18">
                  <c:v>35822.091753572182</c:v>
                </c:pt>
                <c:pt idx="19">
                  <c:v>36628.088818027558</c:v>
                </c:pt>
                <c:pt idx="20">
                  <c:v>37452.220816433175</c:v>
                </c:pt>
                <c:pt idx="21">
                  <c:v>38294.895784802917</c:v>
                </c:pt>
                <c:pt idx="22">
                  <c:v>39156.530939960983</c:v>
                </c:pt>
                <c:pt idx="23">
                  <c:v>40037.552886110105</c:v>
                </c:pt>
                <c:pt idx="24">
                  <c:v>40938.397826047578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berekening'!$G$133:$AL$133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strRef>
              <c:f>'Grafieken en berekening'!$B$180</c:f>
              <c:strCache>
                <c:ptCount val="1"/>
                <c:pt idx="0">
                  <c:v>Beheerlasten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berekening'!$G$180:$AL$180</c15:sqref>
                  </c15:fullRef>
                </c:ext>
              </c:extLst>
              <c:f>'Grafieken en berekening'!$G$180:$AE$180</c:f>
              <c:numCache>
                <c:formatCode>_(* #,##0_);_(* \(#,##0\);_(* "-"??_);_(@_)</c:formatCode>
                <c:ptCount val="25"/>
                <c:pt idx="0">
                  <c:v>1800</c:v>
                </c:pt>
                <c:pt idx="1">
                  <c:v>1836</c:v>
                </c:pt>
                <c:pt idx="2">
                  <c:v>1872.72</c:v>
                </c:pt>
                <c:pt idx="3">
                  <c:v>1910.1744000000001</c:v>
                </c:pt>
                <c:pt idx="4">
                  <c:v>1948.3778880000002</c:v>
                </c:pt>
                <c:pt idx="5">
                  <c:v>1987.3454457600003</c:v>
                </c:pt>
                <c:pt idx="6">
                  <c:v>2027.0923546752003</c:v>
                </c:pt>
                <c:pt idx="7">
                  <c:v>2067.6342017687043</c:v>
                </c:pt>
                <c:pt idx="8">
                  <c:v>2108.9868858040786</c:v>
                </c:pt>
                <c:pt idx="9">
                  <c:v>2151.1666235201601</c:v>
                </c:pt>
                <c:pt idx="10">
                  <c:v>2194.1899559905632</c:v>
                </c:pt>
                <c:pt idx="11">
                  <c:v>2238.0737551103743</c:v>
                </c:pt>
                <c:pt idx="12">
                  <c:v>2282.8352302125818</c:v>
                </c:pt>
                <c:pt idx="13">
                  <c:v>2328.4919348168337</c:v>
                </c:pt>
                <c:pt idx="14">
                  <c:v>2375.0617735131705</c:v>
                </c:pt>
                <c:pt idx="15">
                  <c:v>2422.563008983434</c:v>
                </c:pt>
                <c:pt idx="16">
                  <c:v>2471.0142691631027</c:v>
                </c:pt>
                <c:pt idx="17">
                  <c:v>2520.4345545463648</c:v>
                </c:pt>
                <c:pt idx="18">
                  <c:v>2570.8432456372921</c:v>
                </c:pt>
                <c:pt idx="19">
                  <c:v>2622.260110550038</c:v>
                </c:pt>
                <c:pt idx="20">
                  <c:v>2674.7053127610388</c:v>
                </c:pt>
                <c:pt idx="21">
                  <c:v>2728.1994190162595</c:v>
                </c:pt>
                <c:pt idx="22">
                  <c:v>2782.7634073965846</c:v>
                </c:pt>
                <c:pt idx="23">
                  <c:v>2838.4186755445162</c:v>
                </c:pt>
                <c:pt idx="24">
                  <c:v>2895.1870490554065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berekening'!$G$133:$AL$133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strRef>
              <c:f>'Grafieken en berekening'!$B$181</c:f>
              <c:strCache>
                <c:ptCount val="1"/>
                <c:pt idx="0">
                  <c:v>Vaste lasten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25"/>
              <c:pt idx="0">
                <c:v> 1 </c:v>
              </c:pt>
              <c:pt idx="1">
                <c:v> 2 </c:v>
              </c:pt>
              <c:pt idx="2">
                <c:v> 3 </c:v>
              </c:pt>
              <c:pt idx="3">
                <c:v> 4 </c:v>
              </c:pt>
              <c:pt idx="4">
                <c:v> 5 </c:v>
              </c:pt>
              <c:pt idx="5">
                <c:v> 6 </c:v>
              </c:pt>
              <c:pt idx="6">
                <c:v> 7 </c:v>
              </c:pt>
              <c:pt idx="7">
                <c:v> 8 </c:v>
              </c:pt>
              <c:pt idx="8">
                <c:v> 9 </c:v>
              </c:pt>
              <c:pt idx="9">
                <c:v> 10 </c:v>
              </c:pt>
              <c:pt idx="10">
                <c:v> 11 </c:v>
              </c:pt>
              <c:pt idx="11">
                <c:v> 12 </c:v>
              </c:pt>
              <c:pt idx="12">
                <c:v> 13 </c:v>
              </c:pt>
              <c:pt idx="13">
                <c:v> 14 </c:v>
              </c:pt>
              <c:pt idx="14">
                <c:v> 15 </c:v>
              </c:pt>
              <c:pt idx="15">
                <c:v> 16 </c:v>
              </c:pt>
              <c:pt idx="16">
                <c:v> 17 </c:v>
              </c:pt>
              <c:pt idx="17">
                <c:v> 18 </c:v>
              </c:pt>
              <c:pt idx="18">
                <c:v> 19 </c:v>
              </c:pt>
              <c:pt idx="19">
                <c:v> 20 </c:v>
              </c:pt>
              <c:pt idx="20">
                <c:v> 21 </c:v>
              </c:pt>
              <c:pt idx="21">
                <c:v> 22 </c:v>
              </c:pt>
              <c:pt idx="22">
                <c:v> 23 </c:v>
              </c:pt>
              <c:pt idx="23">
                <c:v> 24 </c:v>
              </c:pt>
              <c:pt idx="24">
                <c:v> 25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berekening'!$G$181:$AL$181</c15:sqref>
                  </c15:fullRef>
                </c:ext>
              </c:extLst>
              <c:f>'Grafieken en berekening'!$G$181:$AE$181</c:f>
              <c:numCache>
                <c:formatCode>_(* #,##0_);_(* \(#,##0\);_(* "-"??_);_(@_)</c:formatCode>
                <c:ptCount val="25"/>
                <c:pt idx="0">
                  <c:v>3600</c:v>
                </c:pt>
                <c:pt idx="1">
                  <c:v>3681</c:v>
                </c:pt>
                <c:pt idx="2">
                  <c:v>3763.8224999999998</c:v>
                </c:pt>
                <c:pt idx="3">
                  <c:v>3848.5085062499998</c:v>
                </c:pt>
                <c:pt idx="4">
                  <c:v>3935.0999476406246</c:v>
                </c:pt>
                <c:pt idx="5">
                  <c:v>4023.6396964625383</c:v>
                </c:pt>
                <c:pt idx="6">
                  <c:v>4114.1715896329451</c:v>
                </c:pt>
                <c:pt idx="7">
                  <c:v>4206.7404503996859</c:v>
                </c:pt>
                <c:pt idx="8">
                  <c:v>4301.3921105336785</c:v>
                </c:pt>
                <c:pt idx="9">
                  <c:v>4398.1734330206864</c:v>
                </c:pt>
                <c:pt idx="10">
                  <c:v>4497.1323352636518</c:v>
                </c:pt>
                <c:pt idx="11">
                  <c:v>4598.317812807084</c:v>
                </c:pt>
                <c:pt idx="12">
                  <c:v>4701.7799635952433</c:v>
                </c:pt>
                <c:pt idx="13">
                  <c:v>4807.5700127761365</c:v>
                </c:pt>
                <c:pt idx="14">
                  <c:v>4915.7403380635997</c:v>
                </c:pt>
                <c:pt idx="15">
                  <c:v>5026.3444956700305</c:v>
                </c:pt>
                <c:pt idx="16">
                  <c:v>5139.4372468226056</c:v>
                </c:pt>
                <c:pt idx="17">
                  <c:v>5255.0745848761144</c:v>
                </c:pt>
                <c:pt idx="18">
                  <c:v>5373.3137630358269</c:v>
                </c:pt>
                <c:pt idx="19">
                  <c:v>5494.2133227041331</c:v>
                </c:pt>
                <c:pt idx="20">
                  <c:v>5617.8331224649755</c:v>
                </c:pt>
                <c:pt idx="21">
                  <c:v>5744.2343677204371</c:v>
                </c:pt>
                <c:pt idx="22">
                  <c:v>5873.4796409941464</c:v>
                </c:pt>
                <c:pt idx="23">
                  <c:v>6005.6329329165146</c:v>
                </c:pt>
                <c:pt idx="24">
                  <c:v>6140.7596739071359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berekening'!$G$133:$AL$133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strRef>
              <c:f>'Grafieken en berekening'!$B$182</c:f>
              <c:strCache>
                <c:ptCount val="1"/>
                <c:pt idx="0">
                  <c:v>BTW-schade onderhoud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berekening'!$G$182:$AL$182</c15:sqref>
                  </c15:fullRef>
                </c:ext>
              </c:extLst>
              <c:f>'Grafieken en berekening'!$G$182:$AE$182</c:f>
              <c:numCache>
                <c:formatCode>_(* #,##0_);_(* \(#,##0\);_(* "-"??_);_(@_)</c:formatCode>
                <c:ptCount val="25"/>
                <c:pt idx="0">
                  <c:v>2016</c:v>
                </c:pt>
                <c:pt idx="1">
                  <c:v>2061.36</c:v>
                </c:pt>
                <c:pt idx="2">
                  <c:v>2107.7406000000001</c:v>
                </c:pt>
                <c:pt idx="3">
                  <c:v>2155.1647634999999</c:v>
                </c:pt>
                <c:pt idx="4">
                  <c:v>2203.6559706787498</c:v>
                </c:pt>
                <c:pt idx="5">
                  <c:v>2253.2382300190216</c:v>
                </c:pt>
                <c:pt idx="6">
                  <c:v>2303.9360901944497</c:v>
                </c:pt>
                <c:pt idx="7">
                  <c:v>2355.7746522238249</c:v>
                </c:pt>
                <c:pt idx="8">
                  <c:v>2408.7795818988611</c:v>
                </c:pt>
                <c:pt idx="9">
                  <c:v>2462.9771224915853</c:v>
                </c:pt>
                <c:pt idx="10">
                  <c:v>2518.3941077476461</c:v>
                </c:pt>
                <c:pt idx="11">
                  <c:v>2575.0579751719679</c:v>
                </c:pt>
                <c:pt idx="12">
                  <c:v>2632.9967796133369</c:v>
                </c:pt>
                <c:pt idx="13">
                  <c:v>2692.2392071546369</c:v>
                </c:pt>
                <c:pt idx="14">
                  <c:v>2752.8145893156161</c:v>
                </c:pt>
                <c:pt idx="15">
                  <c:v>2814.7529175752175</c:v>
                </c:pt>
                <c:pt idx="16">
                  <c:v>2878.0848582206595</c:v>
                </c:pt>
                <c:pt idx="17">
                  <c:v>2942.8417675306241</c:v>
                </c:pt>
                <c:pt idx="18">
                  <c:v>3009.0557073000637</c:v>
                </c:pt>
                <c:pt idx="19">
                  <c:v>3076.7594607143146</c:v>
                </c:pt>
                <c:pt idx="20">
                  <c:v>3145.9865485803866</c:v>
                </c:pt>
                <c:pt idx="21">
                  <c:v>3216.7712459234449</c:v>
                </c:pt>
                <c:pt idx="22">
                  <c:v>3289.1485989567227</c:v>
                </c:pt>
                <c:pt idx="23">
                  <c:v>3363.1544424332492</c:v>
                </c:pt>
                <c:pt idx="24">
                  <c:v>3438.8254173879964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berekening'!$G$133:$AL$133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tx>
            <c:strRef>
              <c:f>'Grafieken en berekening'!$B$183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berekening'!$G$183:$AL$183</c15:sqref>
                  </c15:fullRef>
                </c:ext>
              </c:extLst>
              <c:f>'Grafieken en berekening'!$G$183:$AE$183</c:f>
              <c:numCache>
                <c:formatCode>_(* #,##0_);_(* \(#,##0\);_(* "-"??_);_(@_)</c:formatCode>
                <c:ptCount val="2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berekening'!$G$133:$AL$133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21928720"/>
        <c:axId val="521938128"/>
      </c:barChart>
      <c:lineChart>
        <c:grouping val="standard"/>
        <c:varyColors val="0"/>
        <c:ser>
          <c:idx val="6"/>
          <c:order val="6"/>
          <c:tx>
            <c:strRef>
              <c:f>'Grafieken en berekening'!$B$184</c:f>
              <c:strCache>
                <c:ptCount val="1"/>
                <c:pt idx="0">
                  <c:v>Huur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'Grafieken en berekening'!$G$184:$AL$184</c15:sqref>
                  </c15:fullRef>
                </c:ext>
              </c:extLst>
              <c:f>'Grafieken en berekening'!$G$184:$AE$184</c:f>
              <c:numCache>
                <c:formatCode>_(* #,##0_);_(* \(#,##0\);_(* "-"??_);_(@_)</c:formatCode>
                <c:ptCount val="25"/>
                <c:pt idx="0">
                  <c:v>101026.76650780914</c:v>
                </c:pt>
                <c:pt idx="1">
                  <c:v>101729.12650780914</c:v>
                </c:pt>
                <c:pt idx="2">
                  <c:v>102447.19960780913</c:v>
                </c:pt>
                <c:pt idx="3">
                  <c:v>103181.33755255914</c:v>
                </c:pt>
                <c:pt idx="4">
                  <c:v>103931.89996506603</c:v>
                </c:pt>
                <c:pt idx="5">
                  <c:v>104699.2545231343</c:v>
                </c:pt>
                <c:pt idx="6">
                  <c:v>105483.7771398647</c:v>
                </c:pt>
                <c:pt idx="7">
                  <c:v>106285.85214819926</c:v>
                </c:pt>
                <c:pt idx="8">
                  <c:v>107105.87248960361</c:v>
                </c:pt>
                <c:pt idx="9">
                  <c:v>107944.23990697949</c:v>
                </c:pt>
                <c:pt idx="10">
                  <c:v>108801.36514190202</c:v>
                </c:pt>
                <c:pt idx="11">
                  <c:v>109677.66813627914</c:v>
                </c:pt>
                <c:pt idx="12">
                  <c:v>110573.57823853193</c:v>
                </c:pt>
                <c:pt idx="13">
                  <c:v>111489.53441439765</c:v>
                </c:pt>
                <c:pt idx="14">
                  <c:v>112425.98546245885</c:v>
                </c:pt>
                <c:pt idx="15">
                  <c:v>113383.39023450468</c:v>
                </c:pt>
                <c:pt idx="16">
                  <c:v>114362.21786083287</c:v>
                </c:pt>
                <c:pt idx="17">
                  <c:v>115362.947980603</c:v>
                </c:pt>
                <c:pt idx="18">
                  <c:v>116386.07097735451</c:v>
                </c:pt>
                <c:pt idx="19">
                  <c:v>117432.08821980517</c:v>
                </c:pt>
                <c:pt idx="20">
                  <c:v>118501.51230804871</c:v>
                </c:pt>
                <c:pt idx="21">
                  <c:v>119594.86732527219</c:v>
                </c:pt>
                <c:pt idx="22">
                  <c:v>120712.68909511759</c:v>
                </c:pt>
                <c:pt idx="23">
                  <c:v>121855.52544481352</c:v>
                </c:pt>
                <c:pt idx="24">
                  <c:v>123023.93647420726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berekening'!$G$133:$AL$133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28720"/>
        <c:axId val="521938128"/>
      </c:lineChart>
      <c:catAx>
        <c:axId val="52192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38128"/>
        <c:crosses val="autoZero"/>
        <c:auto val="1"/>
        <c:lblAlgn val="ctr"/>
        <c:lblOffset val="100"/>
        <c:noMultiLvlLbl val="0"/>
      </c:catAx>
      <c:valAx>
        <c:axId val="52193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2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Aanvangshuurprijs per m²</a:t>
            </a:r>
            <a:r>
              <a:rPr lang="en-GB" b="1" baseline="0"/>
              <a:t> VVO per jaar 4 rekenvoorbeelden</a:t>
            </a:r>
            <a:endParaRPr lang="en-GB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en berekening'!$B$186:$B$189</c:f>
              <c:strCache>
                <c:ptCount val="4"/>
                <c:pt idx="0">
                  <c:v>DCF WOZ looptijd 10 jaar</c:v>
                </c:pt>
                <c:pt idx="1">
                  <c:v>DCF WOZ, looptijd technische levensduur opstal</c:v>
                </c:pt>
                <c:pt idx="2">
                  <c:v>DCF Boekwaarde looptijd afschrijftermijn</c:v>
                </c:pt>
                <c:pt idx="3">
                  <c:v>Kap.lasten Boekwaarde looptijd afschrijftermijn</c:v>
                </c:pt>
              </c:strCache>
            </c:strRef>
          </c:cat>
          <c:val>
            <c:numRef>
              <c:f>'Grafieken en berekening'!$C$186:$C$189</c:f>
              <c:numCache>
                <c:formatCode>0</c:formatCode>
                <c:ptCount val="4"/>
                <c:pt idx="0">
                  <c:v>109.563735732616</c:v>
                </c:pt>
                <c:pt idx="1">
                  <c:v>98.927989047032327</c:v>
                </c:pt>
                <c:pt idx="2">
                  <c:v>93.652227101996019</c:v>
                </c:pt>
                <c:pt idx="3">
                  <c:v>101.02676650780914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1938520"/>
        <c:axId val="521938912"/>
      </c:barChart>
      <c:catAx>
        <c:axId val="52193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38912"/>
        <c:crosses val="autoZero"/>
        <c:auto val="1"/>
        <c:lblAlgn val="ctr"/>
        <c:lblOffset val="100"/>
        <c:noMultiLvlLbl val="0"/>
      </c:catAx>
      <c:valAx>
        <c:axId val="52193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3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Ontwikkeling</a:t>
            </a:r>
            <a:r>
              <a:rPr lang="en-GB" b="1" baseline="0"/>
              <a:t> huurprijzen 4 rekenvoorbeelden</a:t>
            </a:r>
            <a:endParaRPr lang="en-GB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'Grafieken en berekening'!$B$192:$E$192</c:f>
              <c:strCache>
                <c:ptCount val="4"/>
                <c:pt idx="0">
                  <c:v>DCF WOZ looptijd 10 jaar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'Grafieken en berekening'!$G$192:$U$192</c:f>
              <c:numCache>
                <c:formatCode>_(* #,##0_);_(* \(#,##0\);_(* "-"??_);_(@_)</c:formatCode>
                <c:ptCount val="15"/>
                <c:pt idx="0">
                  <c:v>109563.735732616</c:v>
                </c:pt>
                <c:pt idx="1">
                  <c:v>111755.01044726832</c:v>
                </c:pt>
                <c:pt idx="2">
                  <c:v>113990.11065621368</c:v>
                </c:pt>
                <c:pt idx="3">
                  <c:v>116269.91286933796</c:v>
                </c:pt>
                <c:pt idx="4">
                  <c:v>118595.31112672471</c:v>
                </c:pt>
                <c:pt idx="5">
                  <c:v>120967.21734925921</c:v>
                </c:pt>
                <c:pt idx="6">
                  <c:v>123386.5616962444</c:v>
                </c:pt>
                <c:pt idx="7">
                  <c:v>125854.29293016929</c:v>
                </c:pt>
                <c:pt idx="8">
                  <c:v>128371.37878877268</c:v>
                </c:pt>
                <c:pt idx="9">
                  <c:v>130938.80636454813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berekening'!$G$191:$AL$191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  <c:pt idx="25">
                        <c:v>2041</c:v>
                      </c:pt>
                      <c:pt idx="26">
                        <c:v>2042</c:v>
                      </c:pt>
                      <c:pt idx="27">
                        <c:v>2043</c:v>
                      </c:pt>
                      <c:pt idx="28">
                        <c:v>2044</c:v>
                      </c:pt>
                      <c:pt idx="29">
                        <c:v>2045</c:v>
                      </c:pt>
                      <c:pt idx="30">
                        <c:v>2046</c:v>
                      </c:pt>
                      <c:pt idx="31">
                        <c:v>2047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strRef>
              <c:f>'Grafieken en berekening'!$B$193:$E$193</c:f>
              <c:strCache>
                <c:ptCount val="4"/>
                <c:pt idx="0">
                  <c:v>DCF WOZ, looptijd technische levensduur opstal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'Grafieken en berekening'!$G$193:$AM$193</c:f>
              <c:numCache>
                <c:formatCode>_(* #,##0_);_(* \(#,##0\);_(* "-"??_);_(@_)</c:formatCode>
                <c:ptCount val="33"/>
                <c:pt idx="0">
                  <c:v>98927.98904703233</c:v>
                </c:pt>
                <c:pt idx="1">
                  <c:v>100411.90888273783</c:v>
                </c:pt>
                <c:pt idx="2">
                  <c:v>101918.08751597891</c:v>
                </c:pt>
                <c:pt idx="3">
                  <c:v>103446.85882871861</c:v>
                </c:pt>
                <c:pt idx="4">
                  <c:v>104998.56171114941</c:v>
                </c:pt>
                <c:pt idx="5">
                  <c:v>106573.54013681666</c:v>
                </c:pt>
                <c:pt idx="6">
                  <c:v>108172.14323886893</c:v>
                </c:pt>
                <c:pt idx="7">
                  <c:v>109794.72538745198</c:v>
                </c:pt>
                <c:pt idx="8">
                  <c:v>111441.64626826378</c:v>
                </c:pt>
                <c:pt idx="9">
                  <c:v>113113.27096228774</c:v>
                </c:pt>
                <c:pt idx="10">
                  <c:v>114809.97002672208</c:v>
                </c:pt>
                <c:pt idx="11">
                  <c:v>116532.11957712292</c:v>
                </c:pt>
                <c:pt idx="12">
                  <c:v>118280.10137077978</c:v>
                </c:pt>
                <c:pt idx="13">
                  <c:v>120054.30289134149</c:v>
                </c:pt>
                <c:pt idx="14">
                  <c:v>121855.11743471163</c:v>
                </c:pt>
                <c:pt idx="15">
                  <c:v>123682.94419623232</c:v>
                </c:pt>
                <c:pt idx="16">
                  <c:v>125538.18835917582</c:v>
                </c:pt>
                <c:pt idx="17">
                  <c:v>127421.26118456348</c:v>
                </c:pt>
                <c:pt idx="18">
                  <c:v>129332.58010233195</c:v>
                </c:pt>
                <c:pt idx="19">
                  <c:v>131272.56880386695</c:v>
                </c:pt>
                <c:pt idx="20">
                  <c:v>133241.65733592497</c:v>
                </c:pt>
                <c:pt idx="21">
                  <c:v>135240.28219596387</c:v>
                </c:pt>
                <c:pt idx="22">
                  <c:v>137268.88642890335</c:v>
                </c:pt>
                <c:pt idx="23">
                  <c:v>139327.91972533692</c:v>
                </c:pt>
                <c:pt idx="24">
                  <c:v>141417.838521217</c:v>
                </c:pt>
                <c:pt idx="25">
                  <c:v>143539.10609903527</c:v>
                </c:pt>
                <c:pt idx="26">
                  <c:v>145692.19269052081</c:v>
                </c:pt>
                <c:pt idx="27">
                  <c:v>147877.57558087865</c:v>
                </c:pt>
                <c:pt idx="28">
                  <c:v>150095.73921459186</c:v>
                </c:pt>
                <c:pt idx="29">
                  <c:v>152347.17530281076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berekening'!$G$191:$AL$191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  <c:pt idx="25">
                        <c:v>2041</c:v>
                      </c:pt>
                      <c:pt idx="26">
                        <c:v>2042</c:v>
                      </c:pt>
                      <c:pt idx="27">
                        <c:v>2043</c:v>
                      </c:pt>
                      <c:pt idx="28">
                        <c:v>2044</c:v>
                      </c:pt>
                      <c:pt idx="29">
                        <c:v>2045</c:v>
                      </c:pt>
                      <c:pt idx="30">
                        <c:v>2046</c:v>
                      </c:pt>
                      <c:pt idx="31">
                        <c:v>2047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strRef>
              <c:f>'Grafieken en berekening'!$B$194:$E$194</c:f>
              <c:strCache>
                <c:ptCount val="4"/>
                <c:pt idx="0">
                  <c:v>DCF Boekwaarde looptijd afschrijftermijn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'Grafieken en berekening'!$G$194:$AL$194</c:f>
              <c:numCache>
                <c:formatCode>_(* #,##0_);_(* \(#,##0\);_(* "-"??_);_(@_)</c:formatCode>
                <c:ptCount val="32"/>
                <c:pt idx="0">
                  <c:v>93652.227101996017</c:v>
                </c:pt>
                <c:pt idx="1">
                  <c:v>95057.010508525971</c:v>
                </c:pt>
                <c:pt idx="2">
                  <c:v>96482.86566615387</c:v>
                </c:pt>
                <c:pt idx="3">
                  <c:v>97930.108651146191</c:v>
                </c:pt>
                <c:pt idx="4">
                  <c:v>99399.0602809134</c:v>
                </c:pt>
                <c:pt idx="5">
                  <c:v>100890.04618512711</c:v>
                </c:pt>
                <c:pt idx="6">
                  <c:v>102403.39687790403</c:v>
                </c:pt>
                <c:pt idx="7">
                  <c:v>103939.4478310726</c:v>
                </c:pt>
                <c:pt idx="8">
                  <c:v>105498.5395485387</c:v>
                </c:pt>
                <c:pt idx="9">
                  <c:v>107081.0176417668</c:v>
                </c:pt>
                <c:pt idx="10">
                  <c:v>108687.23290639331</c:v>
                </c:pt>
                <c:pt idx="11">
                  <c:v>110317.54139998923</c:v>
                </c:pt>
                <c:pt idx="12">
                  <c:v>111972.30452098908</c:v>
                </c:pt>
                <c:pt idx="13">
                  <c:v>113651.88908880393</c:v>
                </c:pt>
                <c:pt idx="14">
                  <c:v>115356.66742513601</c:v>
                </c:pt>
                <c:pt idx="15">
                  <c:v>117087.01743651307</c:v>
                </c:pt>
                <c:pt idx="16">
                  <c:v>118843.32269806077</c:v>
                </c:pt>
                <c:pt idx="17">
                  <c:v>120625.9725385317</c:v>
                </c:pt>
                <c:pt idx="18">
                  <c:v>122435.36212660969</c:v>
                </c:pt>
                <c:pt idx="19">
                  <c:v>124271.89255850884</c:v>
                </c:pt>
                <c:pt idx="20">
                  <c:v>126135.97094688649</c:v>
                </c:pt>
                <c:pt idx="21">
                  <c:v>128028.0105110898</c:v>
                </c:pt>
                <c:pt idx="22">
                  <c:v>129948.43066875616</c:v>
                </c:pt>
                <c:pt idx="23">
                  <c:v>131897.65712878751</c:v>
                </c:pt>
                <c:pt idx="24">
                  <c:v>133876.12198571934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berekening'!$G$191:$AL$191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  <c:pt idx="25">
                        <c:v>2041</c:v>
                      </c:pt>
                      <c:pt idx="26">
                        <c:v>2042</c:v>
                      </c:pt>
                      <c:pt idx="27">
                        <c:v>2043</c:v>
                      </c:pt>
                      <c:pt idx="28">
                        <c:v>2044</c:v>
                      </c:pt>
                      <c:pt idx="29">
                        <c:v>2045</c:v>
                      </c:pt>
                      <c:pt idx="30">
                        <c:v>2046</c:v>
                      </c:pt>
                      <c:pt idx="31">
                        <c:v>2047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strRef>
              <c:f>'Grafieken en berekening'!$B$195:$E$195</c:f>
              <c:strCache>
                <c:ptCount val="4"/>
                <c:pt idx="0">
                  <c:v>Kap.lasten Boekwaarde looptijd afschrijftermijn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'Grafieken en berekening'!$G$195:$AL$195</c:f>
              <c:numCache>
                <c:formatCode>_(* #,##0_);_(* \(#,##0\);_(* "-"??_);_(@_)</c:formatCode>
                <c:ptCount val="32"/>
                <c:pt idx="0">
                  <c:v>101026.76650780914</c:v>
                </c:pt>
                <c:pt idx="1">
                  <c:v>101729.12650780914</c:v>
                </c:pt>
                <c:pt idx="2">
                  <c:v>102447.19960780913</c:v>
                </c:pt>
                <c:pt idx="3">
                  <c:v>103181.33755255914</c:v>
                </c:pt>
                <c:pt idx="4">
                  <c:v>103931.89996506603</c:v>
                </c:pt>
                <c:pt idx="5">
                  <c:v>104699.2545231343</c:v>
                </c:pt>
                <c:pt idx="6">
                  <c:v>105483.7771398647</c:v>
                </c:pt>
                <c:pt idx="7">
                  <c:v>106285.85214819926</c:v>
                </c:pt>
                <c:pt idx="8">
                  <c:v>107105.87248960361</c:v>
                </c:pt>
                <c:pt idx="9">
                  <c:v>107944.23990697949</c:v>
                </c:pt>
                <c:pt idx="10">
                  <c:v>108801.36514190202</c:v>
                </c:pt>
                <c:pt idx="11">
                  <c:v>109677.66813627914</c:v>
                </c:pt>
                <c:pt idx="12">
                  <c:v>110573.57823853193</c:v>
                </c:pt>
                <c:pt idx="13">
                  <c:v>111489.53441439765</c:v>
                </c:pt>
                <c:pt idx="14">
                  <c:v>112425.98546245885</c:v>
                </c:pt>
                <c:pt idx="15">
                  <c:v>113383.39023450468</c:v>
                </c:pt>
                <c:pt idx="16">
                  <c:v>114362.21786083287</c:v>
                </c:pt>
                <c:pt idx="17">
                  <c:v>115362.947980603</c:v>
                </c:pt>
                <c:pt idx="18">
                  <c:v>116386.07097735451</c:v>
                </c:pt>
                <c:pt idx="19">
                  <c:v>117432.08821980517</c:v>
                </c:pt>
                <c:pt idx="20">
                  <c:v>118501.51230804871</c:v>
                </c:pt>
                <c:pt idx="21">
                  <c:v>119594.86732527219</c:v>
                </c:pt>
                <c:pt idx="22">
                  <c:v>120712.68909511759</c:v>
                </c:pt>
                <c:pt idx="23">
                  <c:v>121855.52544481352</c:v>
                </c:pt>
                <c:pt idx="24">
                  <c:v>123023.93647420726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'Grafieken en berekening'!$G$191:$AL$191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  <c:pt idx="17">
                        <c:v>2033</c:v>
                      </c:pt>
                      <c:pt idx="18">
                        <c:v>2034</c:v>
                      </c:pt>
                      <c:pt idx="19">
                        <c:v>2035</c:v>
                      </c:pt>
                      <c:pt idx="20">
                        <c:v>2036</c:v>
                      </c:pt>
                      <c:pt idx="21">
                        <c:v>2037</c:v>
                      </c:pt>
                      <c:pt idx="22">
                        <c:v>2038</c:v>
                      </c:pt>
                      <c:pt idx="23">
                        <c:v>2039</c:v>
                      </c:pt>
                      <c:pt idx="24">
                        <c:v>2040</c:v>
                      </c:pt>
                      <c:pt idx="25">
                        <c:v>2041</c:v>
                      </c:pt>
                      <c:pt idx="26">
                        <c:v>2042</c:v>
                      </c:pt>
                      <c:pt idx="27">
                        <c:v>2043</c:v>
                      </c:pt>
                      <c:pt idx="28">
                        <c:v>2044</c:v>
                      </c:pt>
                      <c:pt idx="29">
                        <c:v>2045</c:v>
                      </c:pt>
                      <c:pt idx="30">
                        <c:v>2046</c:v>
                      </c:pt>
                      <c:pt idx="31">
                        <c:v>2047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940088"/>
        <c:axId val="521930288"/>
      </c:lineChart>
      <c:catAx>
        <c:axId val="52194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30288"/>
        <c:crosses val="autoZero"/>
        <c:auto val="1"/>
        <c:lblAlgn val="ctr"/>
        <c:lblOffset val="100"/>
        <c:noMultiLvlLbl val="0"/>
      </c:catAx>
      <c:valAx>
        <c:axId val="52193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40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179295</xdr:colOff>
      <xdr:row>23</xdr:row>
      <xdr:rowOff>67236</xdr:rowOff>
    </xdr:from>
    <xdr:to>
      <xdr:col>48</xdr:col>
      <xdr:colOff>515470</xdr:colOff>
      <xdr:row>49</xdr:row>
      <xdr:rowOff>53786</xdr:rowOff>
    </xdr:to>
    <xdr:graphicFrame macro="">
      <xdr:nvGraphicFramePr>
        <xdr:cNvPr id="16" name="Grafiek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179295</xdr:colOff>
      <xdr:row>52</xdr:row>
      <xdr:rowOff>44824</xdr:rowOff>
    </xdr:from>
    <xdr:to>
      <xdr:col>48</xdr:col>
      <xdr:colOff>476494</xdr:colOff>
      <xdr:row>78</xdr:row>
      <xdr:rowOff>179294</xdr:rowOff>
    </xdr:to>
    <xdr:graphicFrame macro="">
      <xdr:nvGraphicFramePr>
        <xdr:cNvPr id="17" name="Grafiek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168090</xdr:colOff>
      <xdr:row>82</xdr:row>
      <xdr:rowOff>33618</xdr:rowOff>
    </xdr:from>
    <xdr:to>
      <xdr:col>48</xdr:col>
      <xdr:colOff>537883</xdr:colOff>
      <xdr:row>108</xdr:row>
      <xdr:rowOff>179294</xdr:rowOff>
    </xdr:to>
    <xdr:graphicFrame macro="">
      <xdr:nvGraphicFramePr>
        <xdr:cNvPr id="18" name="Grafiek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89646</xdr:colOff>
      <xdr:row>111</xdr:row>
      <xdr:rowOff>112059</xdr:rowOff>
    </xdr:from>
    <xdr:to>
      <xdr:col>48</xdr:col>
      <xdr:colOff>593910</xdr:colOff>
      <xdr:row>129</xdr:row>
      <xdr:rowOff>11207</xdr:rowOff>
    </xdr:to>
    <xdr:graphicFrame macro="">
      <xdr:nvGraphicFramePr>
        <xdr:cNvPr id="19" name="Grafiek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138474</xdr:colOff>
      <xdr:row>8</xdr:row>
      <xdr:rowOff>190500</xdr:rowOff>
    </xdr:from>
    <xdr:to>
      <xdr:col>28</xdr:col>
      <xdr:colOff>452241</xdr:colOff>
      <xdr:row>20</xdr:row>
      <xdr:rowOff>76040</xdr:rowOff>
    </xdr:to>
    <xdr:graphicFrame macro="">
      <xdr:nvGraphicFramePr>
        <xdr:cNvPr id="20" name="Grafiek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694765</xdr:colOff>
      <xdr:row>9</xdr:row>
      <xdr:rowOff>38422</xdr:rowOff>
    </xdr:from>
    <xdr:to>
      <xdr:col>38</xdr:col>
      <xdr:colOff>0</xdr:colOff>
      <xdr:row>20</xdr:row>
      <xdr:rowOff>116862</xdr:rowOff>
    </xdr:to>
    <xdr:graphicFrame macro="">
      <xdr:nvGraphicFramePr>
        <xdr:cNvPr id="21" name="Grafiek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Y256"/>
  <sheetViews>
    <sheetView showGridLines="0" tabSelected="1" topLeftCell="A108" zoomScale="85" zoomScaleNormal="85" zoomScaleSheetLayoutView="70" workbookViewId="0">
      <selection activeCell="A132" sqref="A132:XFD253"/>
    </sheetView>
  </sheetViews>
  <sheetFormatPr defaultColWidth="0" defaultRowHeight="15" zeroHeight="1" x14ac:dyDescent="0.25"/>
  <cols>
    <col min="1" max="1" width="1.7109375" customWidth="1"/>
    <col min="2" max="2" width="31.140625" customWidth="1"/>
    <col min="3" max="3" width="11.140625" customWidth="1"/>
    <col min="4" max="4" width="12.140625" customWidth="1"/>
    <col min="5" max="5" width="20" bestFit="1" customWidth="1"/>
    <col min="6" max="38" width="12" customWidth="1"/>
    <col min="39" max="39" width="1.7109375" customWidth="1"/>
    <col min="40" max="49" width="9.140625" customWidth="1"/>
    <col min="50" max="50" width="2.7109375" customWidth="1"/>
    <col min="51" max="51" width="9.140625" customWidth="1"/>
    <col min="52" max="16384" width="9.140625" hidden="1"/>
  </cols>
  <sheetData>
    <row r="1" spans="2:23" ht="21" x14ac:dyDescent="0.35">
      <c r="B1" s="95" t="s">
        <v>85</v>
      </c>
    </row>
    <row r="2" spans="2:23" x14ac:dyDescent="0.25"/>
    <row r="3" spans="2:23" ht="15.75" x14ac:dyDescent="0.25">
      <c r="B3" s="96" t="s">
        <v>84</v>
      </c>
    </row>
    <row r="4" spans="2:23" s="93" customFormat="1" ht="15.75" x14ac:dyDescent="0.25">
      <c r="B4" s="97" t="s">
        <v>86</v>
      </c>
    </row>
    <row r="5" spans="2:23" ht="15.75" x14ac:dyDescent="0.25">
      <c r="B5" s="80" t="s">
        <v>88</v>
      </c>
    </row>
    <row r="6" spans="2:23" ht="15.75" x14ac:dyDescent="0.25">
      <c r="B6" s="80" t="s">
        <v>87</v>
      </c>
    </row>
    <row r="7" spans="2:23" x14ac:dyDescent="0.25"/>
    <row r="8" spans="2:23" s="98" customFormat="1" ht="18.75" x14ac:dyDescent="0.3">
      <c r="B8" s="94" t="s">
        <v>89</v>
      </c>
    </row>
    <row r="9" spans="2:23" ht="15.75" thickBot="1" x14ac:dyDescent="0.3"/>
    <row r="10" spans="2:23" x14ac:dyDescent="0.25">
      <c r="B10" s="55" t="s">
        <v>30</v>
      </c>
      <c r="C10" s="56"/>
      <c r="D10" s="56"/>
      <c r="E10" s="57" t="s">
        <v>1</v>
      </c>
      <c r="F10" s="56"/>
      <c r="G10" s="56"/>
      <c r="H10" s="57" t="s">
        <v>33</v>
      </c>
      <c r="I10" s="56"/>
      <c r="J10" s="56"/>
      <c r="K10" s="56"/>
      <c r="L10" s="56"/>
      <c r="M10" s="57" t="s">
        <v>41</v>
      </c>
      <c r="N10" s="56"/>
      <c r="O10" s="56"/>
      <c r="P10" s="56"/>
      <c r="Q10" s="56"/>
      <c r="R10" s="56"/>
      <c r="S10" s="56"/>
      <c r="T10" s="58"/>
      <c r="V10" s="18"/>
      <c r="W10" s="18"/>
    </row>
    <row r="11" spans="2:23" x14ac:dyDescent="0.25">
      <c r="B11" s="59" t="s">
        <v>27</v>
      </c>
      <c r="C11" s="7">
        <v>2016</v>
      </c>
      <c r="D11" s="18"/>
      <c r="E11" s="18" t="s">
        <v>2</v>
      </c>
      <c r="F11" s="9">
        <v>1200</v>
      </c>
      <c r="G11" s="42" t="s">
        <v>25</v>
      </c>
      <c r="H11" s="18" t="s">
        <v>34</v>
      </c>
      <c r="I11" s="18"/>
      <c r="J11" s="9">
        <v>600</v>
      </c>
      <c r="K11" s="42" t="s">
        <v>36</v>
      </c>
      <c r="L11" s="18"/>
      <c r="M11" s="18" t="s">
        <v>9</v>
      </c>
      <c r="N11" s="18"/>
      <c r="O11" s="9">
        <f>20*F11</f>
        <v>24000</v>
      </c>
      <c r="P11" s="42" t="s">
        <v>13</v>
      </c>
      <c r="Q11" s="18"/>
      <c r="R11" s="18"/>
      <c r="S11" s="18"/>
      <c r="T11" s="60"/>
      <c r="V11" s="18"/>
      <c r="W11" s="18"/>
    </row>
    <row r="12" spans="2:23" x14ac:dyDescent="0.25">
      <c r="B12" s="59" t="s">
        <v>31</v>
      </c>
      <c r="C12" s="8">
        <v>0.21</v>
      </c>
      <c r="D12" s="18"/>
      <c r="E12" s="18" t="s">
        <v>3</v>
      </c>
      <c r="F12" s="9">
        <v>1000</v>
      </c>
      <c r="G12" s="42" t="s">
        <v>25</v>
      </c>
      <c r="H12" s="18" t="s">
        <v>35</v>
      </c>
      <c r="I12" s="18"/>
      <c r="J12" s="54">
        <v>400</v>
      </c>
      <c r="K12" s="42" t="s">
        <v>36</v>
      </c>
      <c r="L12" s="18"/>
      <c r="M12" s="18" t="s">
        <v>10</v>
      </c>
      <c r="N12" s="18"/>
      <c r="O12" s="9">
        <f>1.5*F11</f>
        <v>1800</v>
      </c>
      <c r="P12" s="42" t="s">
        <v>53</v>
      </c>
      <c r="Q12" s="18"/>
      <c r="R12" s="18"/>
      <c r="S12" s="18"/>
      <c r="T12" s="60"/>
      <c r="V12" s="18"/>
      <c r="W12" s="18"/>
    </row>
    <row r="13" spans="2:23" x14ac:dyDescent="0.25">
      <c r="B13" s="59" t="s">
        <v>8</v>
      </c>
      <c r="C13" s="10">
        <v>0.04</v>
      </c>
      <c r="D13" s="18"/>
      <c r="E13" s="18" t="s">
        <v>28</v>
      </c>
      <c r="F13" s="9">
        <v>1500</v>
      </c>
      <c r="G13" s="42" t="s">
        <v>25</v>
      </c>
      <c r="H13" s="18" t="s">
        <v>37</v>
      </c>
      <c r="I13" s="18"/>
      <c r="J13" s="99" t="s">
        <v>39</v>
      </c>
      <c r="K13" s="100"/>
      <c r="L13" s="18"/>
      <c r="M13" s="18" t="s">
        <v>11</v>
      </c>
      <c r="N13" s="18"/>
      <c r="O13" s="9">
        <f>3*F11</f>
        <v>3600</v>
      </c>
      <c r="P13" s="42" t="s">
        <v>42</v>
      </c>
      <c r="Q13" s="18"/>
      <c r="R13" s="18"/>
      <c r="S13" s="18"/>
      <c r="T13" s="60"/>
      <c r="V13" s="18"/>
      <c r="W13" s="18"/>
    </row>
    <row r="14" spans="2:23" x14ac:dyDescent="0.25">
      <c r="B14" s="59" t="s">
        <v>15</v>
      </c>
      <c r="C14" s="10">
        <v>2.2499999999999999E-2</v>
      </c>
      <c r="D14" s="18"/>
      <c r="E14" s="18" t="s">
        <v>6</v>
      </c>
      <c r="F14" s="7">
        <v>2001</v>
      </c>
      <c r="G14" s="18"/>
      <c r="H14" s="18" t="s">
        <v>38</v>
      </c>
      <c r="I14" s="18"/>
      <c r="J14" s="99" t="s">
        <v>40</v>
      </c>
      <c r="K14" s="100"/>
      <c r="L14" s="18"/>
      <c r="M14" s="18"/>
      <c r="N14" s="18"/>
      <c r="O14" s="18"/>
      <c r="P14" s="18"/>
      <c r="Q14" s="18"/>
      <c r="R14" s="18"/>
      <c r="S14" s="18"/>
      <c r="T14" s="60"/>
      <c r="U14" s="18"/>
      <c r="V14" s="18"/>
      <c r="W14" s="18"/>
    </row>
    <row r="15" spans="2:23" x14ac:dyDescent="0.25">
      <c r="B15" s="59" t="s">
        <v>16</v>
      </c>
      <c r="C15" s="10">
        <v>0.02</v>
      </c>
      <c r="D15" s="18"/>
      <c r="E15" s="18" t="s">
        <v>4</v>
      </c>
      <c r="F15" s="9">
        <v>1500000</v>
      </c>
      <c r="G15" s="42" t="s">
        <v>21</v>
      </c>
      <c r="H15" s="18" t="s">
        <v>12</v>
      </c>
      <c r="I15" s="18"/>
      <c r="J15" s="23">
        <v>0.6</v>
      </c>
      <c r="K15" s="18"/>
      <c r="L15" s="18"/>
      <c r="M15" s="18"/>
      <c r="N15" s="18"/>
      <c r="O15" s="18"/>
      <c r="P15" s="18"/>
      <c r="Q15" s="18"/>
      <c r="R15" s="18"/>
      <c r="S15" s="18"/>
      <c r="T15" s="60"/>
      <c r="U15" s="18"/>
      <c r="V15" s="18"/>
      <c r="W15" s="18"/>
    </row>
    <row r="16" spans="2:23" x14ac:dyDescent="0.25">
      <c r="B16" s="59" t="s">
        <v>78</v>
      </c>
      <c r="C16" s="10">
        <v>5.0000000000000001E-3</v>
      </c>
      <c r="D16" s="18"/>
      <c r="E16" s="18" t="s">
        <v>5</v>
      </c>
      <c r="F16" s="9">
        <v>1200000</v>
      </c>
      <c r="G16" s="42" t="s">
        <v>29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60"/>
      <c r="U16" s="18"/>
      <c r="V16" s="18"/>
      <c r="W16" s="18"/>
    </row>
    <row r="17" spans="2:38" x14ac:dyDescent="0.25">
      <c r="B17" s="59" t="s">
        <v>32</v>
      </c>
      <c r="C17" s="10">
        <v>0</v>
      </c>
      <c r="D17" s="18"/>
      <c r="E17" s="18" t="s">
        <v>22</v>
      </c>
      <c r="F17" s="9">
        <v>300000</v>
      </c>
      <c r="G17" s="42" t="s">
        <v>21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60"/>
      <c r="U17" s="18"/>
      <c r="V17" s="18"/>
      <c r="W17" s="18"/>
    </row>
    <row r="18" spans="2:38" ht="15.75" thickBot="1" x14ac:dyDescent="0.3">
      <c r="B18" s="61" t="s">
        <v>72</v>
      </c>
      <c r="C18" s="82">
        <v>0.08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18"/>
      <c r="V18" s="18"/>
      <c r="W18" s="18"/>
    </row>
    <row r="19" spans="2:38" x14ac:dyDescent="0.25">
      <c r="C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2:38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2:38" x14ac:dyDescent="0.25"/>
    <row r="22" spans="2:38" s="3" customFormat="1" ht="15.75" x14ac:dyDescent="0.25">
      <c r="B22" s="84" t="s">
        <v>75</v>
      </c>
      <c r="C22" s="12"/>
      <c r="D22" s="12"/>
      <c r="E22" s="85" t="s">
        <v>44</v>
      </c>
      <c r="F22" s="12" t="str">
        <f>"Begin "&amp; C11</f>
        <v>Begin 2016</v>
      </c>
      <c r="G22" s="12">
        <f>C11</f>
        <v>2016</v>
      </c>
      <c r="H22" s="12">
        <f t="shared" ref="H22:AL22" si="0">G22+1</f>
        <v>2017</v>
      </c>
      <c r="I22" s="12">
        <f t="shared" si="0"/>
        <v>2018</v>
      </c>
      <c r="J22" s="12">
        <f t="shared" si="0"/>
        <v>2019</v>
      </c>
      <c r="K22" s="12">
        <f t="shared" si="0"/>
        <v>2020</v>
      </c>
      <c r="L22" s="12">
        <f t="shared" si="0"/>
        <v>2021</v>
      </c>
      <c r="M22" s="12">
        <f t="shared" si="0"/>
        <v>2022</v>
      </c>
      <c r="N22" s="12">
        <f t="shared" si="0"/>
        <v>2023</v>
      </c>
      <c r="O22" s="12">
        <f t="shared" si="0"/>
        <v>2024</v>
      </c>
      <c r="P22" s="12">
        <f t="shared" si="0"/>
        <v>2025</v>
      </c>
      <c r="Q22" s="12">
        <f t="shared" si="0"/>
        <v>2026</v>
      </c>
      <c r="R22" s="12">
        <f t="shared" si="0"/>
        <v>2027</v>
      </c>
      <c r="S22" s="12">
        <f t="shared" si="0"/>
        <v>2028</v>
      </c>
      <c r="T22" s="12">
        <f t="shared" si="0"/>
        <v>2029</v>
      </c>
      <c r="U22" s="12">
        <f t="shared" si="0"/>
        <v>2030</v>
      </c>
      <c r="V22" s="12">
        <f t="shared" si="0"/>
        <v>2031</v>
      </c>
      <c r="W22" s="12">
        <f t="shared" si="0"/>
        <v>2032</v>
      </c>
      <c r="X22" s="12">
        <f t="shared" si="0"/>
        <v>2033</v>
      </c>
      <c r="Y22" s="12">
        <f t="shared" si="0"/>
        <v>2034</v>
      </c>
      <c r="Z22" s="12">
        <f t="shared" si="0"/>
        <v>2035</v>
      </c>
      <c r="AA22" s="12">
        <f t="shared" si="0"/>
        <v>2036</v>
      </c>
      <c r="AB22" s="12">
        <f t="shared" si="0"/>
        <v>2037</v>
      </c>
      <c r="AC22" s="12">
        <f t="shared" si="0"/>
        <v>2038</v>
      </c>
      <c r="AD22" s="12">
        <f t="shared" si="0"/>
        <v>2039</v>
      </c>
      <c r="AE22" s="12">
        <f t="shared" si="0"/>
        <v>2040</v>
      </c>
      <c r="AF22" s="12">
        <f t="shared" si="0"/>
        <v>2041</v>
      </c>
      <c r="AG22" s="12">
        <f t="shared" si="0"/>
        <v>2042</v>
      </c>
      <c r="AH22" s="12">
        <f t="shared" si="0"/>
        <v>2043</v>
      </c>
      <c r="AI22" s="12">
        <f t="shared" si="0"/>
        <v>2044</v>
      </c>
      <c r="AJ22" s="12">
        <f t="shared" si="0"/>
        <v>2045</v>
      </c>
      <c r="AK22" s="12">
        <f t="shared" si="0"/>
        <v>2046</v>
      </c>
      <c r="AL22" s="13">
        <f t="shared" si="0"/>
        <v>2047</v>
      </c>
    </row>
    <row r="23" spans="2:38" s="3" customFormat="1" x14ac:dyDescent="0.25">
      <c r="B23" s="14"/>
      <c r="C23" s="15"/>
      <c r="D23" s="15"/>
      <c r="E23" s="86" t="s">
        <v>45</v>
      </c>
      <c r="F23" s="15">
        <v>0</v>
      </c>
      <c r="G23" s="15">
        <f>F23+1</f>
        <v>1</v>
      </c>
      <c r="H23" s="15">
        <f t="shared" ref="H23:AL23" si="1">G23+1</f>
        <v>2</v>
      </c>
      <c r="I23" s="15">
        <f t="shared" si="1"/>
        <v>3</v>
      </c>
      <c r="J23" s="15">
        <f t="shared" si="1"/>
        <v>4</v>
      </c>
      <c r="K23" s="15">
        <f t="shared" si="1"/>
        <v>5</v>
      </c>
      <c r="L23" s="15">
        <f t="shared" si="1"/>
        <v>6</v>
      </c>
      <c r="M23" s="15">
        <f t="shared" si="1"/>
        <v>7</v>
      </c>
      <c r="N23" s="15">
        <f t="shared" si="1"/>
        <v>8</v>
      </c>
      <c r="O23" s="15">
        <f t="shared" si="1"/>
        <v>9</v>
      </c>
      <c r="P23" s="15">
        <f t="shared" si="1"/>
        <v>10</v>
      </c>
      <c r="Q23" s="15">
        <f t="shared" si="1"/>
        <v>11</v>
      </c>
      <c r="R23" s="15">
        <f t="shared" si="1"/>
        <v>12</v>
      </c>
      <c r="S23" s="15">
        <f t="shared" si="1"/>
        <v>13</v>
      </c>
      <c r="T23" s="15">
        <f t="shared" si="1"/>
        <v>14</v>
      </c>
      <c r="U23" s="15">
        <f t="shared" si="1"/>
        <v>15</v>
      </c>
      <c r="V23" s="15">
        <f t="shared" si="1"/>
        <v>16</v>
      </c>
      <c r="W23" s="15">
        <f t="shared" si="1"/>
        <v>17</v>
      </c>
      <c r="X23" s="15">
        <f t="shared" si="1"/>
        <v>18</v>
      </c>
      <c r="Y23" s="15">
        <f t="shared" si="1"/>
        <v>19</v>
      </c>
      <c r="Z23" s="15">
        <f t="shared" si="1"/>
        <v>20</v>
      </c>
      <c r="AA23" s="15">
        <f t="shared" si="1"/>
        <v>21</v>
      </c>
      <c r="AB23" s="15">
        <f t="shared" si="1"/>
        <v>22</v>
      </c>
      <c r="AC23" s="15">
        <f t="shared" si="1"/>
        <v>23</v>
      </c>
      <c r="AD23" s="15">
        <f t="shared" si="1"/>
        <v>24</v>
      </c>
      <c r="AE23" s="15">
        <f t="shared" si="1"/>
        <v>25</v>
      </c>
      <c r="AF23" s="15">
        <f t="shared" si="1"/>
        <v>26</v>
      </c>
      <c r="AG23" s="15">
        <f t="shared" si="1"/>
        <v>27</v>
      </c>
      <c r="AH23" s="15">
        <f t="shared" si="1"/>
        <v>28</v>
      </c>
      <c r="AI23" s="15">
        <f t="shared" si="1"/>
        <v>29</v>
      </c>
      <c r="AJ23" s="15">
        <f t="shared" si="1"/>
        <v>30</v>
      </c>
      <c r="AK23" s="15">
        <f t="shared" si="1"/>
        <v>31</v>
      </c>
      <c r="AL23" s="16">
        <f t="shared" si="1"/>
        <v>32</v>
      </c>
    </row>
    <row r="24" spans="2:38" x14ac:dyDescent="0.25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9"/>
    </row>
    <row r="25" spans="2:38" x14ac:dyDescent="0.25">
      <c r="B25" s="41" t="s">
        <v>49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9"/>
    </row>
    <row r="26" spans="2:38" x14ac:dyDescent="0.25">
      <c r="B26" s="20" t="s">
        <v>0</v>
      </c>
      <c r="C26" s="21">
        <f>F15</f>
        <v>1500000</v>
      </c>
      <c r="D26" s="42" t="s">
        <v>18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9"/>
    </row>
    <row r="27" spans="2:38" x14ac:dyDescent="0.25">
      <c r="B27" s="20" t="s">
        <v>7</v>
      </c>
      <c r="C27" s="18">
        <v>10</v>
      </c>
      <c r="D27" s="42" t="s">
        <v>17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2:38" x14ac:dyDescent="0.25">
      <c r="B28" s="22" t="s">
        <v>43</v>
      </c>
      <c r="C28" s="10">
        <v>0.1</v>
      </c>
      <c r="D28" s="42"/>
      <c r="E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9"/>
    </row>
    <row r="29" spans="2:38" x14ac:dyDescent="0.25">
      <c r="B29" s="22" t="s">
        <v>71</v>
      </c>
      <c r="C29" s="9">
        <v>130</v>
      </c>
      <c r="D29" s="42" t="s">
        <v>69</v>
      </c>
      <c r="E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9"/>
    </row>
    <row r="30" spans="2:38" x14ac:dyDescent="0.25">
      <c r="B30" s="20" t="s">
        <v>14</v>
      </c>
      <c r="C30" s="21">
        <f>C29*F12/C28/(1+C18)</f>
        <v>1203703.7037037036</v>
      </c>
      <c r="D30" s="42" t="s">
        <v>73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9"/>
    </row>
    <row r="31" spans="2:38" x14ac:dyDescent="0.25">
      <c r="B31" s="24"/>
      <c r="C31" s="4"/>
      <c r="D31" s="4"/>
      <c r="E31" s="4"/>
      <c r="F31" s="4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25"/>
    </row>
    <row r="32" spans="2:38" x14ac:dyDescent="0.25">
      <c r="B32" s="17" t="s">
        <v>48</v>
      </c>
      <c r="C32" s="18"/>
      <c r="D32" s="18"/>
      <c r="E32" s="18"/>
      <c r="F32" s="18"/>
      <c r="G32" s="2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9"/>
    </row>
    <row r="33" spans="2:38" x14ac:dyDescent="0.25">
      <c r="B33" s="26" t="s">
        <v>0</v>
      </c>
      <c r="C33" s="18"/>
      <c r="D33" s="18"/>
      <c r="E33" s="18"/>
      <c r="F33" s="27">
        <f>-C26</f>
        <v>-1500000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9"/>
    </row>
    <row r="34" spans="2:38" x14ac:dyDescent="0.25">
      <c r="B34" s="26" t="s">
        <v>55</v>
      </c>
      <c r="C34" s="18"/>
      <c r="D34" s="18"/>
      <c r="E34" s="18"/>
      <c r="F34" s="27"/>
      <c r="G34" s="27">
        <f>-$O$11</f>
        <v>-24000</v>
      </c>
      <c r="H34" s="27">
        <f>G34*(1+$C$14)</f>
        <v>-24540</v>
      </c>
      <c r="I34" s="27">
        <f t="shared" ref="I34:P34" si="2">H34*(1+$C$14)</f>
        <v>-25092.149999999998</v>
      </c>
      <c r="J34" s="27">
        <f t="shared" si="2"/>
        <v>-25656.723374999998</v>
      </c>
      <c r="K34" s="27">
        <f t="shared" si="2"/>
        <v>-26233.999650937498</v>
      </c>
      <c r="L34" s="27">
        <f t="shared" si="2"/>
        <v>-26824.264643083592</v>
      </c>
      <c r="M34" s="27">
        <f t="shared" si="2"/>
        <v>-27427.810597552972</v>
      </c>
      <c r="N34" s="27">
        <f t="shared" si="2"/>
        <v>-28044.936335997914</v>
      </c>
      <c r="O34" s="27">
        <f t="shared" si="2"/>
        <v>-28675.947403557868</v>
      </c>
      <c r="P34" s="27">
        <f t="shared" si="2"/>
        <v>-29321.15622013792</v>
      </c>
      <c r="Q34" s="27"/>
      <c r="R34" s="27"/>
      <c r="S34" s="27"/>
      <c r="T34" s="27"/>
      <c r="U34" s="27"/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4">
        <v>0</v>
      </c>
    </row>
    <row r="35" spans="2:38" x14ac:dyDescent="0.25">
      <c r="B35" s="26" t="s">
        <v>10</v>
      </c>
      <c r="C35" s="18"/>
      <c r="D35" s="18"/>
      <c r="E35" s="18"/>
      <c r="F35" s="27"/>
      <c r="G35" s="27">
        <f>-$O$12</f>
        <v>-1800</v>
      </c>
      <c r="H35" s="27">
        <f t="shared" ref="H35:P35" si="3">G35*(1+$C$15)</f>
        <v>-1836</v>
      </c>
      <c r="I35" s="27">
        <f t="shared" si="3"/>
        <v>-1872.72</v>
      </c>
      <c r="J35" s="27">
        <f t="shared" si="3"/>
        <v>-1910.1744000000001</v>
      </c>
      <c r="K35" s="27">
        <f t="shared" si="3"/>
        <v>-1948.3778880000002</v>
      </c>
      <c r="L35" s="27">
        <f t="shared" si="3"/>
        <v>-1987.3454457600003</v>
      </c>
      <c r="M35" s="27">
        <f t="shared" si="3"/>
        <v>-2027.0923546752003</v>
      </c>
      <c r="N35" s="27">
        <f t="shared" si="3"/>
        <v>-2067.6342017687043</v>
      </c>
      <c r="O35" s="27">
        <f t="shared" si="3"/>
        <v>-2108.9868858040786</v>
      </c>
      <c r="P35" s="27">
        <f t="shared" si="3"/>
        <v>-2151.1666235201601</v>
      </c>
      <c r="Q35" s="27"/>
      <c r="R35" s="27"/>
      <c r="S35" s="27"/>
      <c r="T35" s="27"/>
      <c r="U35" s="27"/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4">
        <v>0</v>
      </c>
    </row>
    <row r="36" spans="2:38" x14ac:dyDescent="0.25">
      <c r="B36" s="26" t="s">
        <v>11</v>
      </c>
      <c r="C36" s="18"/>
      <c r="D36" s="18"/>
      <c r="E36" s="18"/>
      <c r="F36" s="27"/>
      <c r="G36" s="27">
        <f>-$O$13</f>
        <v>-3600</v>
      </c>
      <c r="H36" s="27">
        <f t="shared" ref="H36:P36" si="4">G36*(1+$C$14)</f>
        <v>-3681</v>
      </c>
      <c r="I36" s="27">
        <f t="shared" si="4"/>
        <v>-3763.8224999999998</v>
      </c>
      <c r="J36" s="27">
        <f t="shared" si="4"/>
        <v>-3848.5085062499998</v>
      </c>
      <c r="K36" s="27">
        <f t="shared" si="4"/>
        <v>-3935.0999476406246</v>
      </c>
      <c r="L36" s="27">
        <f t="shared" si="4"/>
        <v>-4023.6396964625383</v>
      </c>
      <c r="M36" s="27">
        <f t="shared" si="4"/>
        <v>-4114.1715896329451</v>
      </c>
      <c r="N36" s="27">
        <f t="shared" si="4"/>
        <v>-4206.7404503996859</v>
      </c>
      <c r="O36" s="27">
        <f t="shared" si="4"/>
        <v>-4301.3921105336785</v>
      </c>
      <c r="P36" s="27">
        <f t="shared" si="4"/>
        <v>-4398.1734330206864</v>
      </c>
      <c r="Q36" s="27"/>
      <c r="R36" s="27"/>
      <c r="S36" s="27"/>
      <c r="T36" s="27"/>
      <c r="U36" s="27"/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4">
        <v>0</v>
      </c>
    </row>
    <row r="37" spans="2:38" x14ac:dyDescent="0.25">
      <c r="B37" s="26" t="s">
        <v>24</v>
      </c>
      <c r="C37" s="18"/>
      <c r="D37" s="18"/>
      <c r="E37" s="18"/>
      <c r="F37" s="27"/>
      <c r="G37" s="27">
        <f>G34*$C$12*(1-$J$15)</f>
        <v>-2016</v>
      </c>
      <c r="H37" s="27">
        <f t="shared" ref="H37:P37" si="5">H34*$C$12*(1-$J$15)</f>
        <v>-2061.36</v>
      </c>
      <c r="I37" s="27">
        <f t="shared" si="5"/>
        <v>-2107.7406000000001</v>
      </c>
      <c r="J37" s="27">
        <f t="shared" si="5"/>
        <v>-2155.1647634999999</v>
      </c>
      <c r="K37" s="27">
        <f t="shared" si="5"/>
        <v>-2203.6559706787498</v>
      </c>
      <c r="L37" s="27">
        <f t="shared" si="5"/>
        <v>-2253.2382300190216</v>
      </c>
      <c r="M37" s="27">
        <f t="shared" si="5"/>
        <v>-2303.9360901944497</v>
      </c>
      <c r="N37" s="27">
        <f t="shared" si="5"/>
        <v>-2355.7746522238249</v>
      </c>
      <c r="O37" s="27">
        <f t="shared" si="5"/>
        <v>-2408.7795818988611</v>
      </c>
      <c r="P37" s="27">
        <f t="shared" si="5"/>
        <v>-2462.9771224915853</v>
      </c>
      <c r="Q37" s="27"/>
      <c r="R37" s="27"/>
      <c r="S37" s="27"/>
      <c r="T37" s="27"/>
      <c r="U37" s="27"/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4">
        <v>0</v>
      </c>
    </row>
    <row r="38" spans="2:38" x14ac:dyDescent="0.25">
      <c r="B38" s="26"/>
      <c r="C38" s="18"/>
      <c r="D38" s="18"/>
      <c r="E38" s="18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18"/>
      <c r="AL38" s="19"/>
    </row>
    <row r="39" spans="2:38" x14ac:dyDescent="0.25">
      <c r="B39" s="37" t="s">
        <v>47</v>
      </c>
      <c r="C39" s="18"/>
      <c r="D39" s="18"/>
      <c r="E39" s="18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18"/>
      <c r="AL39" s="19"/>
    </row>
    <row r="40" spans="2:38" x14ac:dyDescent="0.25">
      <c r="B40" s="28" t="s">
        <v>80</v>
      </c>
      <c r="C40" s="4"/>
      <c r="D40" s="4"/>
      <c r="E40" s="4"/>
      <c r="F40" s="5"/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f>$C$30</f>
        <v>1203703.7037037036</v>
      </c>
      <c r="Q40" s="5"/>
      <c r="R40" s="5"/>
      <c r="S40" s="5"/>
      <c r="T40" s="5"/>
      <c r="U40" s="5"/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5">
        <v>0</v>
      </c>
      <c r="AJ40" s="45">
        <v>0</v>
      </c>
      <c r="AK40" s="45">
        <v>0</v>
      </c>
      <c r="AL40" s="46">
        <v>0</v>
      </c>
    </row>
    <row r="41" spans="2:38" x14ac:dyDescent="0.25">
      <c r="B41" s="17" t="s">
        <v>46</v>
      </c>
      <c r="C41" s="29"/>
      <c r="D41" s="29"/>
      <c r="E41" s="29"/>
      <c r="F41" s="30">
        <f t="shared" ref="F41:U41" si="6">SUM(F33:F40)</f>
        <v>-1500000</v>
      </c>
      <c r="G41" s="30">
        <f>SUM(G33:G40)</f>
        <v>-31416</v>
      </c>
      <c r="H41" s="30">
        <f t="shared" si="6"/>
        <v>-32118.36</v>
      </c>
      <c r="I41" s="30">
        <f t="shared" si="6"/>
        <v>-32836.433099999995</v>
      </c>
      <c r="J41" s="30">
        <f t="shared" si="6"/>
        <v>-33570.571044749995</v>
      </c>
      <c r="K41" s="30">
        <f t="shared" si="6"/>
        <v>-34321.133457256874</v>
      </c>
      <c r="L41" s="30">
        <f t="shared" si="6"/>
        <v>-35088.488015325158</v>
      </c>
      <c r="M41" s="30">
        <f t="shared" si="6"/>
        <v>-35873.010632055571</v>
      </c>
      <c r="N41" s="30">
        <f t="shared" si="6"/>
        <v>-36675.085640390127</v>
      </c>
      <c r="O41" s="30">
        <f t="shared" si="6"/>
        <v>-37495.105981794484</v>
      </c>
      <c r="P41" s="30">
        <f t="shared" si="6"/>
        <v>1165370.2303045332</v>
      </c>
      <c r="Q41" s="30">
        <f t="shared" si="6"/>
        <v>0</v>
      </c>
      <c r="R41" s="30">
        <f t="shared" si="6"/>
        <v>0</v>
      </c>
      <c r="S41" s="30">
        <f t="shared" si="6"/>
        <v>0</v>
      </c>
      <c r="T41" s="30">
        <f t="shared" si="6"/>
        <v>0</v>
      </c>
      <c r="U41" s="30">
        <f t="shared" si="6"/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7">
        <v>0</v>
      </c>
      <c r="AE41" s="47">
        <v>0</v>
      </c>
      <c r="AF41" s="47">
        <v>0</v>
      </c>
      <c r="AG41" s="47">
        <v>0</v>
      </c>
      <c r="AH41" s="47">
        <v>0</v>
      </c>
      <c r="AI41" s="47">
        <v>0</v>
      </c>
      <c r="AJ41" s="47">
        <v>0</v>
      </c>
      <c r="AK41" s="47">
        <v>0</v>
      </c>
      <c r="AL41" s="48">
        <v>0</v>
      </c>
    </row>
    <row r="42" spans="2:38" x14ac:dyDescent="0.25">
      <c r="B42" s="17" t="s">
        <v>77</v>
      </c>
      <c r="C42" s="29"/>
      <c r="D42" s="29"/>
      <c r="F42" s="30">
        <f>F41/(1+$C$13+$C$17)^(G22-$C$11)</f>
        <v>-1500000</v>
      </c>
      <c r="G42" s="30">
        <f t="shared" ref="G42:AL42" si="7">G41/(1+$C$13+$C$17)^(H22-$C$11)</f>
        <v>-30207.692307692305</v>
      </c>
      <c r="H42" s="30">
        <f t="shared" si="7"/>
        <v>-29695.229289940824</v>
      </c>
      <c r="I42" s="30">
        <f t="shared" si="7"/>
        <v>-29191.469457641095</v>
      </c>
      <c r="J42" s="30">
        <f t="shared" si="7"/>
        <v>-28696.264824313454</v>
      </c>
      <c r="K42" s="30">
        <f t="shared" si="7"/>
        <v>-28209.469923224722</v>
      </c>
      <c r="L42" s="30">
        <f t="shared" si="7"/>
        <v>-27730.941764419604</v>
      </c>
      <c r="M42" s="30">
        <f t="shared" si="7"/>
        <v>-27260.539792486034</v>
      </c>
      <c r="N42" s="30">
        <f t="shared" si="7"/>
        <v>-26798.125845041974</v>
      </c>
      <c r="O42" s="30">
        <f t="shared" si="7"/>
        <v>-26343.564111931268</v>
      </c>
      <c r="P42" s="30">
        <f t="shared" si="7"/>
        <v>787282.37101001141</v>
      </c>
      <c r="Q42" s="30">
        <f t="shared" si="7"/>
        <v>0</v>
      </c>
      <c r="R42" s="30">
        <f t="shared" si="7"/>
        <v>0</v>
      </c>
      <c r="S42" s="30">
        <f t="shared" si="7"/>
        <v>0</v>
      </c>
      <c r="T42" s="30">
        <f t="shared" si="7"/>
        <v>0</v>
      </c>
      <c r="U42" s="30">
        <f t="shared" si="7"/>
        <v>0</v>
      </c>
      <c r="V42" s="30">
        <f t="shared" si="7"/>
        <v>0</v>
      </c>
      <c r="W42" s="30">
        <f t="shared" si="7"/>
        <v>0</v>
      </c>
      <c r="X42" s="30">
        <f t="shared" si="7"/>
        <v>0</v>
      </c>
      <c r="Y42" s="30">
        <f t="shared" si="7"/>
        <v>0</v>
      </c>
      <c r="Z42" s="30">
        <f t="shared" si="7"/>
        <v>0</v>
      </c>
      <c r="AA42" s="30">
        <f t="shared" si="7"/>
        <v>0</v>
      </c>
      <c r="AB42" s="30">
        <f t="shared" si="7"/>
        <v>0</v>
      </c>
      <c r="AC42" s="30">
        <f t="shared" si="7"/>
        <v>0</v>
      </c>
      <c r="AD42" s="30">
        <f t="shared" si="7"/>
        <v>0</v>
      </c>
      <c r="AE42" s="30">
        <f t="shared" si="7"/>
        <v>0</v>
      </c>
      <c r="AF42" s="30">
        <f t="shared" si="7"/>
        <v>0</v>
      </c>
      <c r="AG42" s="30">
        <f t="shared" si="7"/>
        <v>0</v>
      </c>
      <c r="AH42" s="30">
        <f t="shared" si="7"/>
        <v>0</v>
      </c>
      <c r="AI42" s="30">
        <f t="shared" si="7"/>
        <v>0</v>
      </c>
      <c r="AJ42" s="30">
        <f t="shared" si="7"/>
        <v>0</v>
      </c>
      <c r="AK42" s="30">
        <f t="shared" si="7"/>
        <v>0</v>
      </c>
      <c r="AL42" s="30">
        <f t="shared" si="7"/>
        <v>0</v>
      </c>
    </row>
    <row r="43" spans="2:38" x14ac:dyDescent="0.25">
      <c r="B43" s="20" t="s">
        <v>52</v>
      </c>
      <c r="C43" s="18"/>
      <c r="D43" s="18"/>
      <c r="E43" s="87" t="b">
        <f>F43=SUM(F42:AL42)</f>
        <v>1</v>
      </c>
      <c r="F43" s="30">
        <f>NPV($C$13+$C$17,G41:AL41)+F41</f>
        <v>-966850.92630667984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9"/>
    </row>
    <row r="44" spans="2:38" x14ac:dyDescent="0.25">
      <c r="B44" s="20"/>
      <c r="C44" s="18"/>
      <c r="D44" s="18"/>
      <c r="E44" s="18"/>
      <c r="F44" s="21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9"/>
    </row>
    <row r="45" spans="2:38" x14ac:dyDescent="0.25">
      <c r="B45" s="17" t="s">
        <v>57</v>
      </c>
      <c r="C45" s="42" t="s">
        <v>58</v>
      </c>
      <c r="D45" s="18"/>
      <c r="E45" s="18"/>
      <c r="F45" s="18"/>
      <c r="G45" s="88">
        <v>109563.735732616</v>
      </c>
      <c r="H45" s="31">
        <f>G45*(1+$C$15)</f>
        <v>111755.01044726832</v>
      </c>
      <c r="I45" s="31">
        <f t="shared" ref="I45:P45" si="8">H45*(1+$C$15)</f>
        <v>113990.11065621368</v>
      </c>
      <c r="J45" s="31">
        <f t="shared" si="8"/>
        <v>116269.91286933796</v>
      </c>
      <c r="K45" s="31">
        <f t="shared" si="8"/>
        <v>118595.31112672471</v>
      </c>
      <c r="L45" s="31">
        <f t="shared" si="8"/>
        <v>120967.21734925921</v>
      </c>
      <c r="M45" s="31">
        <f t="shared" si="8"/>
        <v>123386.5616962444</v>
      </c>
      <c r="N45" s="31">
        <f t="shared" si="8"/>
        <v>125854.29293016929</v>
      </c>
      <c r="O45" s="31">
        <f t="shared" si="8"/>
        <v>128371.37878877268</v>
      </c>
      <c r="P45" s="31">
        <f t="shared" si="8"/>
        <v>130938.80636454813</v>
      </c>
      <c r="Q45" s="31"/>
      <c r="R45" s="31"/>
      <c r="S45" s="31"/>
      <c r="T45" s="31"/>
      <c r="U45" s="31"/>
      <c r="V45" s="49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0</v>
      </c>
      <c r="AJ45" s="47">
        <v>0</v>
      </c>
      <c r="AK45" s="47">
        <v>0</v>
      </c>
      <c r="AL45" s="48">
        <v>0</v>
      </c>
    </row>
    <row r="46" spans="2:38" x14ac:dyDescent="0.25">
      <c r="B46" s="50" t="s">
        <v>50</v>
      </c>
      <c r="C46" s="18"/>
      <c r="D46" s="18"/>
      <c r="F46" s="33">
        <f>NPV($C$13+$C$17,G45:AL45)</f>
        <v>966850.92630668276</v>
      </c>
      <c r="G46" s="83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9"/>
    </row>
    <row r="47" spans="2:38" x14ac:dyDescent="0.25">
      <c r="B47" s="20"/>
      <c r="C47" s="18"/>
      <c r="D47" s="18"/>
      <c r="E47" s="18"/>
      <c r="F47" s="33">
        <f>F46+F43</f>
        <v>2.9103830456733704E-9</v>
      </c>
      <c r="G47" s="6" t="s">
        <v>79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81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9"/>
    </row>
    <row r="48" spans="2:38" x14ac:dyDescent="0.25">
      <c r="B48" s="20"/>
      <c r="C48" s="38" t="s">
        <v>20</v>
      </c>
      <c r="D48" s="39"/>
      <c r="E48" s="40">
        <f>G45/F12</f>
        <v>109.563735732616</v>
      </c>
      <c r="F48" s="18" t="s">
        <v>26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9"/>
    </row>
    <row r="49" spans="2:40" x14ac:dyDescent="0.25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6"/>
    </row>
    <row r="50" spans="2:40" x14ac:dyDescent="0.2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</row>
    <row r="51" spans="2:40" ht="15.75" x14ac:dyDescent="0.25">
      <c r="B51" s="84" t="s">
        <v>76</v>
      </c>
      <c r="C51" s="12"/>
      <c r="D51" s="12"/>
      <c r="E51" s="12" t="s">
        <v>44</v>
      </c>
      <c r="F51" s="12" t="str">
        <f>F22</f>
        <v>Begin 2016</v>
      </c>
      <c r="G51" s="12">
        <f t="shared" ref="G51:AL51" si="9">G22</f>
        <v>2016</v>
      </c>
      <c r="H51" s="12">
        <f t="shared" si="9"/>
        <v>2017</v>
      </c>
      <c r="I51" s="12">
        <f t="shared" si="9"/>
        <v>2018</v>
      </c>
      <c r="J51" s="12">
        <f t="shared" si="9"/>
        <v>2019</v>
      </c>
      <c r="K51" s="12">
        <f t="shared" si="9"/>
        <v>2020</v>
      </c>
      <c r="L51" s="12">
        <f t="shared" si="9"/>
        <v>2021</v>
      </c>
      <c r="M51" s="12">
        <f t="shared" si="9"/>
        <v>2022</v>
      </c>
      <c r="N51" s="12">
        <f t="shared" si="9"/>
        <v>2023</v>
      </c>
      <c r="O51" s="12">
        <f t="shared" si="9"/>
        <v>2024</v>
      </c>
      <c r="P51" s="12">
        <f t="shared" si="9"/>
        <v>2025</v>
      </c>
      <c r="Q51" s="12">
        <f t="shared" si="9"/>
        <v>2026</v>
      </c>
      <c r="R51" s="12">
        <f t="shared" si="9"/>
        <v>2027</v>
      </c>
      <c r="S51" s="12">
        <f t="shared" si="9"/>
        <v>2028</v>
      </c>
      <c r="T51" s="12">
        <f t="shared" si="9"/>
        <v>2029</v>
      </c>
      <c r="U51" s="12">
        <f t="shared" si="9"/>
        <v>2030</v>
      </c>
      <c r="V51" s="12">
        <f t="shared" si="9"/>
        <v>2031</v>
      </c>
      <c r="W51" s="12">
        <f t="shared" si="9"/>
        <v>2032</v>
      </c>
      <c r="X51" s="12">
        <f t="shared" si="9"/>
        <v>2033</v>
      </c>
      <c r="Y51" s="12">
        <f t="shared" si="9"/>
        <v>2034</v>
      </c>
      <c r="Z51" s="12">
        <f t="shared" si="9"/>
        <v>2035</v>
      </c>
      <c r="AA51" s="12">
        <f t="shared" si="9"/>
        <v>2036</v>
      </c>
      <c r="AB51" s="12">
        <f t="shared" si="9"/>
        <v>2037</v>
      </c>
      <c r="AC51" s="12">
        <f t="shared" si="9"/>
        <v>2038</v>
      </c>
      <c r="AD51" s="12">
        <f t="shared" si="9"/>
        <v>2039</v>
      </c>
      <c r="AE51" s="12">
        <f t="shared" si="9"/>
        <v>2040</v>
      </c>
      <c r="AF51" s="12">
        <f t="shared" si="9"/>
        <v>2041</v>
      </c>
      <c r="AG51" s="12">
        <f t="shared" si="9"/>
        <v>2042</v>
      </c>
      <c r="AH51" s="12">
        <f t="shared" si="9"/>
        <v>2043</v>
      </c>
      <c r="AI51" s="12">
        <f t="shared" si="9"/>
        <v>2044</v>
      </c>
      <c r="AJ51" s="12">
        <f t="shared" si="9"/>
        <v>2045</v>
      </c>
      <c r="AK51" s="12">
        <f t="shared" si="9"/>
        <v>2046</v>
      </c>
      <c r="AL51" s="13">
        <f t="shared" si="9"/>
        <v>2047</v>
      </c>
    </row>
    <row r="52" spans="2:40" x14ac:dyDescent="0.25">
      <c r="B52" s="14"/>
      <c r="C52" s="15"/>
      <c r="D52" s="15"/>
      <c r="E52" s="15" t="s">
        <v>45</v>
      </c>
      <c r="F52" s="15">
        <v>0</v>
      </c>
      <c r="G52" s="15">
        <f>F52+1</f>
        <v>1</v>
      </c>
      <c r="H52" s="15">
        <f t="shared" ref="H52:AL52" si="10">G52+1</f>
        <v>2</v>
      </c>
      <c r="I52" s="15">
        <f t="shared" si="10"/>
        <v>3</v>
      </c>
      <c r="J52" s="15">
        <f t="shared" si="10"/>
        <v>4</v>
      </c>
      <c r="K52" s="15">
        <f t="shared" si="10"/>
        <v>5</v>
      </c>
      <c r="L52" s="15">
        <f t="shared" si="10"/>
        <v>6</v>
      </c>
      <c r="M52" s="15">
        <f t="shared" si="10"/>
        <v>7</v>
      </c>
      <c r="N52" s="15">
        <f t="shared" si="10"/>
        <v>8</v>
      </c>
      <c r="O52" s="15">
        <f t="shared" si="10"/>
        <v>9</v>
      </c>
      <c r="P52" s="15">
        <f t="shared" si="10"/>
        <v>10</v>
      </c>
      <c r="Q52" s="15">
        <f t="shared" si="10"/>
        <v>11</v>
      </c>
      <c r="R52" s="15">
        <f t="shared" si="10"/>
        <v>12</v>
      </c>
      <c r="S52" s="15">
        <f t="shared" si="10"/>
        <v>13</v>
      </c>
      <c r="T52" s="15">
        <f t="shared" si="10"/>
        <v>14</v>
      </c>
      <c r="U52" s="15">
        <f t="shared" si="10"/>
        <v>15</v>
      </c>
      <c r="V52" s="15">
        <f t="shared" si="10"/>
        <v>16</v>
      </c>
      <c r="W52" s="15">
        <f t="shared" si="10"/>
        <v>17</v>
      </c>
      <c r="X52" s="15">
        <f t="shared" si="10"/>
        <v>18</v>
      </c>
      <c r="Y52" s="15">
        <f t="shared" si="10"/>
        <v>19</v>
      </c>
      <c r="Z52" s="15">
        <f t="shared" si="10"/>
        <v>20</v>
      </c>
      <c r="AA52" s="15">
        <f t="shared" si="10"/>
        <v>21</v>
      </c>
      <c r="AB52" s="15">
        <f t="shared" si="10"/>
        <v>22</v>
      </c>
      <c r="AC52" s="15">
        <f t="shared" si="10"/>
        <v>23</v>
      </c>
      <c r="AD52" s="15">
        <f t="shared" si="10"/>
        <v>24</v>
      </c>
      <c r="AE52" s="15">
        <f t="shared" si="10"/>
        <v>25</v>
      </c>
      <c r="AF52" s="15">
        <f t="shared" si="10"/>
        <v>26</v>
      </c>
      <c r="AG52" s="15">
        <f t="shared" si="10"/>
        <v>27</v>
      </c>
      <c r="AH52" s="15">
        <f t="shared" si="10"/>
        <v>28</v>
      </c>
      <c r="AI52" s="15">
        <f t="shared" si="10"/>
        <v>29</v>
      </c>
      <c r="AJ52" s="15">
        <f t="shared" si="10"/>
        <v>30</v>
      </c>
      <c r="AK52" s="15">
        <f t="shared" si="10"/>
        <v>31</v>
      </c>
      <c r="AL52" s="16">
        <f t="shared" si="10"/>
        <v>32</v>
      </c>
    </row>
    <row r="53" spans="2:40" x14ac:dyDescent="0.25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9"/>
    </row>
    <row r="54" spans="2:40" x14ac:dyDescent="0.25">
      <c r="B54" s="41" t="s">
        <v>49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9"/>
    </row>
    <row r="55" spans="2:40" x14ac:dyDescent="0.25">
      <c r="B55" s="20" t="s">
        <v>0</v>
      </c>
      <c r="C55" s="21">
        <f>C26</f>
        <v>1500000</v>
      </c>
      <c r="D55" s="42" t="s">
        <v>18</v>
      </c>
      <c r="E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9"/>
      <c r="AM55" s="1"/>
      <c r="AN55" s="1"/>
    </row>
    <row r="56" spans="2:40" x14ac:dyDescent="0.25">
      <c r="B56" s="20" t="s">
        <v>7</v>
      </c>
      <c r="C56" s="18">
        <v>30</v>
      </c>
      <c r="D56" s="42" t="s">
        <v>17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9"/>
      <c r="AM56" s="1"/>
      <c r="AN56" s="1"/>
    </row>
    <row r="57" spans="2:40" x14ac:dyDescent="0.25">
      <c r="B57" s="22" t="s">
        <v>51</v>
      </c>
      <c r="C57" s="9">
        <v>214</v>
      </c>
      <c r="D57" s="42" t="s">
        <v>70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9"/>
      <c r="AM57" s="1"/>
      <c r="AN57" s="1"/>
    </row>
    <row r="58" spans="2:40" x14ac:dyDescent="0.25">
      <c r="B58" s="20" t="s">
        <v>14</v>
      </c>
      <c r="C58" s="21">
        <f>C57*F13</f>
        <v>321000</v>
      </c>
      <c r="D58" s="42" t="s">
        <v>74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9"/>
      <c r="AM58" s="1"/>
      <c r="AN58" s="1"/>
    </row>
    <row r="59" spans="2:40" x14ac:dyDescent="0.25">
      <c r="B59" s="22" t="s">
        <v>67</v>
      </c>
      <c r="C59" s="9">
        <v>20</v>
      </c>
      <c r="D59" s="42" t="s">
        <v>68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9"/>
      <c r="AM59" s="1"/>
      <c r="AN59" s="1"/>
    </row>
    <row r="60" spans="2:40" x14ac:dyDescent="0.25">
      <c r="B60" s="5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25"/>
      <c r="AM60" s="1"/>
      <c r="AN60" s="1"/>
    </row>
    <row r="61" spans="2:40" x14ac:dyDescent="0.25">
      <c r="B61" s="17" t="s">
        <v>48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9"/>
    </row>
    <row r="62" spans="2:40" x14ac:dyDescent="0.25">
      <c r="B62" s="26" t="s">
        <v>0</v>
      </c>
      <c r="C62" s="18"/>
      <c r="D62" s="18"/>
      <c r="E62" s="18"/>
      <c r="F62" s="27">
        <f>-C55</f>
        <v>-1500000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9"/>
    </row>
    <row r="63" spans="2:40" x14ac:dyDescent="0.25">
      <c r="B63" s="26" t="s">
        <v>55</v>
      </c>
      <c r="C63" s="18"/>
      <c r="D63" s="18"/>
      <c r="E63" s="18"/>
      <c r="F63" s="27"/>
      <c r="G63" s="27">
        <f>-$O$11</f>
        <v>-24000</v>
      </c>
      <c r="H63" s="27">
        <f t="shared" ref="H63:AJ63" si="11">G63*(1+$C$14)</f>
        <v>-24540</v>
      </c>
      <c r="I63" s="27">
        <f t="shared" si="11"/>
        <v>-25092.149999999998</v>
      </c>
      <c r="J63" s="27">
        <f t="shared" si="11"/>
        <v>-25656.723374999998</v>
      </c>
      <c r="K63" s="27">
        <f t="shared" si="11"/>
        <v>-26233.999650937498</v>
      </c>
      <c r="L63" s="27">
        <f t="shared" si="11"/>
        <v>-26824.264643083592</v>
      </c>
      <c r="M63" s="27">
        <f t="shared" si="11"/>
        <v>-27427.810597552972</v>
      </c>
      <c r="N63" s="27">
        <f t="shared" si="11"/>
        <v>-28044.936335997914</v>
      </c>
      <c r="O63" s="27">
        <f t="shared" si="11"/>
        <v>-28675.947403557868</v>
      </c>
      <c r="P63" s="27">
        <f t="shared" si="11"/>
        <v>-29321.15622013792</v>
      </c>
      <c r="Q63" s="27">
        <f t="shared" si="11"/>
        <v>-29980.882235091023</v>
      </c>
      <c r="R63" s="27">
        <f t="shared" si="11"/>
        <v>-30655.45208538057</v>
      </c>
      <c r="S63" s="27">
        <f t="shared" si="11"/>
        <v>-31345.199757301631</v>
      </c>
      <c r="T63" s="27">
        <f t="shared" si="11"/>
        <v>-32050.466751840915</v>
      </c>
      <c r="U63" s="27">
        <f t="shared" si="11"/>
        <v>-32771.602253757337</v>
      </c>
      <c r="V63" s="27">
        <f t="shared" si="11"/>
        <v>-33508.963304466874</v>
      </c>
      <c r="W63" s="27">
        <f t="shared" si="11"/>
        <v>-34262.914978817375</v>
      </c>
      <c r="X63" s="27">
        <f t="shared" si="11"/>
        <v>-35033.830565840763</v>
      </c>
      <c r="Y63" s="27">
        <f t="shared" si="11"/>
        <v>-35822.091753572182</v>
      </c>
      <c r="Z63" s="27">
        <f t="shared" si="11"/>
        <v>-36628.088818027558</v>
      </c>
      <c r="AA63" s="27">
        <f t="shared" si="11"/>
        <v>-37452.220816433175</v>
      </c>
      <c r="AB63" s="27">
        <f t="shared" si="11"/>
        <v>-38294.895784802917</v>
      </c>
      <c r="AC63" s="27">
        <f t="shared" si="11"/>
        <v>-39156.530939960983</v>
      </c>
      <c r="AD63" s="27">
        <f t="shared" si="11"/>
        <v>-40037.552886110105</v>
      </c>
      <c r="AE63" s="27">
        <f t="shared" si="11"/>
        <v>-40938.397826047578</v>
      </c>
      <c r="AF63" s="27">
        <f t="shared" si="11"/>
        <v>-41859.511777133645</v>
      </c>
      <c r="AG63" s="27">
        <f t="shared" si="11"/>
        <v>-42801.350792119149</v>
      </c>
      <c r="AH63" s="27">
        <f t="shared" si="11"/>
        <v>-43764.381184941827</v>
      </c>
      <c r="AI63" s="27">
        <f t="shared" si="11"/>
        <v>-44749.079761603018</v>
      </c>
      <c r="AJ63" s="27">
        <f t="shared" si="11"/>
        <v>-45755.934056239086</v>
      </c>
      <c r="AK63" s="27"/>
      <c r="AL63" s="64"/>
    </row>
    <row r="64" spans="2:40" x14ac:dyDescent="0.25">
      <c r="B64" s="26" t="s">
        <v>10</v>
      </c>
      <c r="C64" s="18"/>
      <c r="D64" s="18"/>
      <c r="E64" s="18"/>
      <c r="F64" s="27"/>
      <c r="G64" s="27">
        <f>-$O$12</f>
        <v>-1800</v>
      </c>
      <c r="H64" s="27">
        <f t="shared" ref="H64:AJ64" si="12">G64*(1+$C$15)</f>
        <v>-1836</v>
      </c>
      <c r="I64" s="27">
        <f t="shared" si="12"/>
        <v>-1872.72</v>
      </c>
      <c r="J64" s="27">
        <f t="shared" si="12"/>
        <v>-1910.1744000000001</v>
      </c>
      <c r="K64" s="27">
        <f t="shared" si="12"/>
        <v>-1948.3778880000002</v>
      </c>
      <c r="L64" s="27">
        <f t="shared" si="12"/>
        <v>-1987.3454457600003</v>
      </c>
      <c r="M64" s="27">
        <f t="shared" si="12"/>
        <v>-2027.0923546752003</v>
      </c>
      <c r="N64" s="27">
        <f t="shared" si="12"/>
        <v>-2067.6342017687043</v>
      </c>
      <c r="O64" s="27">
        <f t="shared" si="12"/>
        <v>-2108.9868858040786</v>
      </c>
      <c r="P64" s="27">
        <f t="shared" si="12"/>
        <v>-2151.1666235201601</v>
      </c>
      <c r="Q64" s="27">
        <f t="shared" si="12"/>
        <v>-2194.1899559905632</v>
      </c>
      <c r="R64" s="27">
        <f t="shared" si="12"/>
        <v>-2238.0737551103743</v>
      </c>
      <c r="S64" s="27">
        <f t="shared" si="12"/>
        <v>-2282.8352302125818</v>
      </c>
      <c r="T64" s="27">
        <f t="shared" si="12"/>
        <v>-2328.4919348168337</v>
      </c>
      <c r="U64" s="27">
        <f t="shared" si="12"/>
        <v>-2375.0617735131705</v>
      </c>
      <c r="V64" s="27">
        <f t="shared" si="12"/>
        <v>-2422.563008983434</v>
      </c>
      <c r="W64" s="27">
        <f t="shared" si="12"/>
        <v>-2471.0142691631027</v>
      </c>
      <c r="X64" s="27">
        <f t="shared" si="12"/>
        <v>-2520.4345545463648</v>
      </c>
      <c r="Y64" s="27">
        <f t="shared" si="12"/>
        <v>-2570.8432456372921</v>
      </c>
      <c r="Z64" s="27">
        <f t="shared" si="12"/>
        <v>-2622.260110550038</v>
      </c>
      <c r="AA64" s="27">
        <f t="shared" si="12"/>
        <v>-2674.7053127610388</v>
      </c>
      <c r="AB64" s="27">
        <f t="shared" si="12"/>
        <v>-2728.1994190162595</v>
      </c>
      <c r="AC64" s="27">
        <f t="shared" si="12"/>
        <v>-2782.7634073965846</v>
      </c>
      <c r="AD64" s="27">
        <f t="shared" si="12"/>
        <v>-2838.4186755445162</v>
      </c>
      <c r="AE64" s="27">
        <f t="shared" si="12"/>
        <v>-2895.1870490554065</v>
      </c>
      <c r="AF64" s="27">
        <f t="shared" si="12"/>
        <v>-2953.0907900365146</v>
      </c>
      <c r="AG64" s="27">
        <f t="shared" si="12"/>
        <v>-3012.1526058372451</v>
      </c>
      <c r="AH64" s="27">
        <f t="shared" si="12"/>
        <v>-3072.3956579539899</v>
      </c>
      <c r="AI64" s="27">
        <f t="shared" si="12"/>
        <v>-3133.8435711130696</v>
      </c>
      <c r="AJ64" s="27">
        <f t="shared" si="12"/>
        <v>-3196.5204425353309</v>
      </c>
      <c r="AK64" s="27"/>
      <c r="AL64" s="64"/>
    </row>
    <row r="65" spans="2:38" x14ac:dyDescent="0.25">
      <c r="B65" s="26" t="s">
        <v>11</v>
      </c>
      <c r="C65" s="18"/>
      <c r="D65" s="18"/>
      <c r="E65" s="18"/>
      <c r="F65" s="27"/>
      <c r="G65" s="27">
        <f>-$O$13</f>
        <v>-3600</v>
      </c>
      <c r="H65" s="27">
        <f t="shared" ref="H65:AJ65" si="13">G65*(1+$C$14)</f>
        <v>-3681</v>
      </c>
      <c r="I65" s="27">
        <f t="shared" si="13"/>
        <v>-3763.8224999999998</v>
      </c>
      <c r="J65" s="27">
        <f t="shared" si="13"/>
        <v>-3848.5085062499998</v>
      </c>
      <c r="K65" s="27">
        <f t="shared" si="13"/>
        <v>-3935.0999476406246</v>
      </c>
      <c r="L65" s="27">
        <f t="shared" si="13"/>
        <v>-4023.6396964625383</v>
      </c>
      <c r="M65" s="27">
        <f t="shared" si="13"/>
        <v>-4114.1715896329451</v>
      </c>
      <c r="N65" s="27">
        <f t="shared" si="13"/>
        <v>-4206.7404503996859</v>
      </c>
      <c r="O65" s="27">
        <f t="shared" si="13"/>
        <v>-4301.3921105336785</v>
      </c>
      <c r="P65" s="27">
        <f t="shared" si="13"/>
        <v>-4398.1734330206864</v>
      </c>
      <c r="Q65" s="27">
        <f t="shared" si="13"/>
        <v>-4497.1323352636518</v>
      </c>
      <c r="R65" s="27">
        <f t="shared" si="13"/>
        <v>-4598.317812807084</v>
      </c>
      <c r="S65" s="27">
        <f t="shared" si="13"/>
        <v>-4701.7799635952433</v>
      </c>
      <c r="T65" s="27">
        <f t="shared" si="13"/>
        <v>-4807.5700127761365</v>
      </c>
      <c r="U65" s="27">
        <f t="shared" si="13"/>
        <v>-4915.7403380635997</v>
      </c>
      <c r="V65" s="27">
        <f t="shared" si="13"/>
        <v>-5026.3444956700305</v>
      </c>
      <c r="W65" s="27">
        <f t="shared" si="13"/>
        <v>-5139.4372468226056</v>
      </c>
      <c r="X65" s="27">
        <f t="shared" si="13"/>
        <v>-5255.0745848761144</v>
      </c>
      <c r="Y65" s="27">
        <f t="shared" si="13"/>
        <v>-5373.3137630358269</v>
      </c>
      <c r="Z65" s="27">
        <f t="shared" si="13"/>
        <v>-5494.2133227041331</v>
      </c>
      <c r="AA65" s="27">
        <f t="shared" si="13"/>
        <v>-5617.8331224649755</v>
      </c>
      <c r="AB65" s="27">
        <f t="shared" si="13"/>
        <v>-5744.2343677204371</v>
      </c>
      <c r="AC65" s="27">
        <f t="shared" si="13"/>
        <v>-5873.4796409941464</v>
      </c>
      <c r="AD65" s="27">
        <f t="shared" si="13"/>
        <v>-6005.6329329165146</v>
      </c>
      <c r="AE65" s="27">
        <f t="shared" si="13"/>
        <v>-6140.7596739071359</v>
      </c>
      <c r="AF65" s="27">
        <f t="shared" si="13"/>
        <v>-6278.9267665700463</v>
      </c>
      <c r="AG65" s="27">
        <f t="shared" si="13"/>
        <v>-6420.2026188178725</v>
      </c>
      <c r="AH65" s="27">
        <f t="shared" si="13"/>
        <v>-6564.6571777412746</v>
      </c>
      <c r="AI65" s="27">
        <f t="shared" si="13"/>
        <v>-6712.3619642404528</v>
      </c>
      <c r="AJ65" s="27">
        <f t="shared" si="13"/>
        <v>-6863.3901084358631</v>
      </c>
      <c r="AK65" s="27"/>
      <c r="AL65" s="64"/>
    </row>
    <row r="66" spans="2:38" x14ac:dyDescent="0.25">
      <c r="B66" s="26" t="s">
        <v>24</v>
      </c>
      <c r="C66" s="18"/>
      <c r="D66" s="18"/>
      <c r="E66" s="18"/>
      <c r="F66" s="27"/>
      <c r="G66" s="27">
        <f>G63*$C$12*(1-$J$15)</f>
        <v>-2016</v>
      </c>
      <c r="H66" s="27">
        <f t="shared" ref="H66:AJ66" si="14">H63*$C$12*(1-$J$15)</f>
        <v>-2061.36</v>
      </c>
      <c r="I66" s="27">
        <f t="shared" si="14"/>
        <v>-2107.7406000000001</v>
      </c>
      <c r="J66" s="27">
        <f t="shared" si="14"/>
        <v>-2155.1647634999999</v>
      </c>
      <c r="K66" s="27">
        <f t="shared" si="14"/>
        <v>-2203.6559706787498</v>
      </c>
      <c r="L66" s="27">
        <f t="shared" si="14"/>
        <v>-2253.2382300190216</v>
      </c>
      <c r="M66" s="27">
        <f t="shared" si="14"/>
        <v>-2303.9360901944497</v>
      </c>
      <c r="N66" s="27">
        <f t="shared" si="14"/>
        <v>-2355.7746522238249</v>
      </c>
      <c r="O66" s="27">
        <f t="shared" si="14"/>
        <v>-2408.7795818988611</v>
      </c>
      <c r="P66" s="27">
        <f t="shared" si="14"/>
        <v>-2462.9771224915853</v>
      </c>
      <c r="Q66" s="27">
        <f t="shared" si="14"/>
        <v>-2518.3941077476461</v>
      </c>
      <c r="R66" s="27">
        <f t="shared" si="14"/>
        <v>-2575.0579751719679</v>
      </c>
      <c r="S66" s="27">
        <f t="shared" si="14"/>
        <v>-2632.9967796133369</v>
      </c>
      <c r="T66" s="27">
        <f t="shared" si="14"/>
        <v>-2692.2392071546369</v>
      </c>
      <c r="U66" s="27">
        <f t="shared" si="14"/>
        <v>-2752.8145893156161</v>
      </c>
      <c r="V66" s="27">
        <f t="shared" si="14"/>
        <v>-2814.7529175752175</v>
      </c>
      <c r="W66" s="27">
        <f t="shared" si="14"/>
        <v>-2878.0848582206595</v>
      </c>
      <c r="X66" s="27">
        <f t="shared" si="14"/>
        <v>-2942.8417675306241</v>
      </c>
      <c r="Y66" s="27">
        <f t="shared" si="14"/>
        <v>-3009.0557073000637</v>
      </c>
      <c r="Z66" s="27">
        <f t="shared" si="14"/>
        <v>-3076.7594607143146</v>
      </c>
      <c r="AA66" s="27">
        <f t="shared" si="14"/>
        <v>-3145.9865485803866</v>
      </c>
      <c r="AB66" s="27">
        <f t="shared" si="14"/>
        <v>-3216.7712459234449</v>
      </c>
      <c r="AC66" s="27">
        <f t="shared" si="14"/>
        <v>-3289.1485989567227</v>
      </c>
      <c r="AD66" s="27">
        <f t="shared" si="14"/>
        <v>-3363.1544424332492</v>
      </c>
      <c r="AE66" s="27">
        <f t="shared" si="14"/>
        <v>-3438.8254173879964</v>
      </c>
      <c r="AF66" s="27">
        <f t="shared" si="14"/>
        <v>-3516.1989892792262</v>
      </c>
      <c r="AG66" s="27">
        <f t="shared" si="14"/>
        <v>-3595.3134665380089</v>
      </c>
      <c r="AH66" s="27">
        <f t="shared" si="14"/>
        <v>-3676.2080195351136</v>
      </c>
      <c r="AI66" s="27">
        <f t="shared" si="14"/>
        <v>-3758.9226999746534</v>
      </c>
      <c r="AJ66" s="27">
        <f t="shared" si="14"/>
        <v>-3843.4984607240835</v>
      </c>
      <c r="AK66" s="27"/>
      <c r="AL66" s="64"/>
    </row>
    <row r="67" spans="2:38" x14ac:dyDescent="0.25">
      <c r="B67" s="26"/>
      <c r="C67" s="18"/>
      <c r="D67" s="18"/>
      <c r="E67" s="18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64"/>
    </row>
    <row r="68" spans="2:38" x14ac:dyDescent="0.25">
      <c r="B68" s="37" t="s">
        <v>47</v>
      </c>
      <c r="C68" s="18"/>
      <c r="D68" s="18"/>
      <c r="E68" s="18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64"/>
    </row>
    <row r="69" spans="2:38" x14ac:dyDescent="0.25">
      <c r="B69" s="28" t="s">
        <v>14</v>
      </c>
      <c r="C69" s="89" t="s">
        <v>81</v>
      </c>
      <c r="D69" s="4"/>
      <c r="E69" s="4"/>
      <c r="F69" s="5"/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f>(C58*(1+C15)^AJ23)-(C59*F11*(1+C14)^AJ23)</f>
        <v>534661.62592467212</v>
      </c>
      <c r="AK69" s="5"/>
      <c r="AL69" s="65"/>
    </row>
    <row r="70" spans="2:38" x14ac:dyDescent="0.25">
      <c r="B70" s="20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9"/>
    </row>
    <row r="71" spans="2:38" x14ac:dyDescent="0.25">
      <c r="B71" s="17" t="s">
        <v>46</v>
      </c>
      <c r="C71" s="18"/>
      <c r="D71" s="18"/>
      <c r="E71" s="18"/>
      <c r="F71" s="30">
        <f>SUM(F62:F69)</f>
        <v>-1500000</v>
      </c>
      <c r="G71" s="30">
        <f>SUM(G62:G69)</f>
        <v>-31416</v>
      </c>
      <c r="H71" s="30">
        <f t="shared" ref="H71:U71" si="15">SUM(H62:H69)</f>
        <v>-32118.36</v>
      </c>
      <c r="I71" s="30">
        <f t="shared" si="15"/>
        <v>-32836.433099999995</v>
      </c>
      <c r="J71" s="30">
        <f t="shared" si="15"/>
        <v>-33570.571044749995</v>
      </c>
      <c r="K71" s="30">
        <f t="shared" si="15"/>
        <v>-34321.133457256874</v>
      </c>
      <c r="L71" s="30">
        <f t="shared" si="15"/>
        <v>-35088.488015325158</v>
      </c>
      <c r="M71" s="30">
        <f t="shared" si="15"/>
        <v>-35873.010632055571</v>
      </c>
      <c r="N71" s="30">
        <f t="shared" si="15"/>
        <v>-36675.085640390127</v>
      </c>
      <c r="O71" s="30">
        <f t="shared" si="15"/>
        <v>-37495.105981794484</v>
      </c>
      <c r="P71" s="30">
        <f t="shared" si="15"/>
        <v>-38333.473399170347</v>
      </c>
      <c r="Q71" s="30">
        <f t="shared" si="15"/>
        <v>-39190.598634092887</v>
      </c>
      <c r="R71" s="30">
        <f t="shared" si="15"/>
        <v>-40066.901628470005</v>
      </c>
      <c r="S71" s="30">
        <f t="shared" si="15"/>
        <v>-40962.811730722788</v>
      </c>
      <c r="T71" s="30">
        <f t="shared" si="15"/>
        <v>-41878.767906588524</v>
      </c>
      <c r="U71" s="30">
        <f t="shared" si="15"/>
        <v>-42815.218954649725</v>
      </c>
      <c r="V71" s="30">
        <f t="shared" ref="V71:AK71" si="16">SUM(V62:V69)</f>
        <v>-43772.623726695558</v>
      </c>
      <c r="W71" s="30">
        <f t="shared" si="16"/>
        <v>-44751.451353023745</v>
      </c>
      <c r="X71" s="30">
        <f t="shared" si="16"/>
        <v>-45752.181472793869</v>
      </c>
      <c r="Y71" s="30">
        <f t="shared" si="16"/>
        <v>-46775.304469545357</v>
      </c>
      <c r="Z71" s="30">
        <f t="shared" si="16"/>
        <v>-47821.321711996046</v>
      </c>
      <c r="AA71" s="30">
        <f t="shared" si="16"/>
        <v>-48890.74580023958</v>
      </c>
      <c r="AB71" s="30">
        <f t="shared" si="16"/>
        <v>-49984.100817463055</v>
      </c>
      <c r="AC71" s="30">
        <f t="shared" si="16"/>
        <v>-51101.922587308436</v>
      </c>
      <c r="AD71" s="30">
        <f t="shared" si="16"/>
        <v>-52244.758937004386</v>
      </c>
      <c r="AE71" s="30">
        <f t="shared" si="16"/>
        <v>-53413.16996639812</v>
      </c>
      <c r="AF71" s="30">
        <f t="shared" si="16"/>
        <v>-54607.72832301943</v>
      </c>
      <c r="AG71" s="30">
        <f t="shared" si="16"/>
        <v>-55829.019483312273</v>
      </c>
      <c r="AH71" s="30">
        <f t="shared" si="16"/>
        <v>-57077.642040172206</v>
      </c>
      <c r="AI71" s="30">
        <f t="shared" si="16"/>
        <v>-58354.207996931196</v>
      </c>
      <c r="AJ71" s="30">
        <f>SUM(AJ62:AJ69)</f>
        <v>475002.28285673773</v>
      </c>
      <c r="AK71" s="30">
        <f t="shared" si="16"/>
        <v>0</v>
      </c>
      <c r="AL71" s="66">
        <f>SUM(AL62:AL69)</f>
        <v>0</v>
      </c>
    </row>
    <row r="72" spans="2:38" x14ac:dyDescent="0.25">
      <c r="B72" s="17" t="s">
        <v>77</v>
      </c>
      <c r="C72" s="29"/>
      <c r="D72" s="29"/>
      <c r="F72" s="30">
        <f>F71/(1+$C$13+$C$17)^(G51-$C$11)</f>
        <v>-1500000</v>
      </c>
      <c r="G72" s="30">
        <f t="shared" ref="G72:AL72" si="17">G71/(1+$C$13+$C$17)^(H51-$C$11)</f>
        <v>-30207.692307692305</v>
      </c>
      <c r="H72" s="30">
        <f t="shared" si="17"/>
        <v>-29695.229289940824</v>
      </c>
      <c r="I72" s="30">
        <f t="shared" si="17"/>
        <v>-29191.469457641095</v>
      </c>
      <c r="J72" s="30">
        <f t="shared" si="17"/>
        <v>-28696.264824313454</v>
      </c>
      <c r="K72" s="30">
        <f t="shared" si="17"/>
        <v>-28209.469923224722</v>
      </c>
      <c r="L72" s="30">
        <f t="shared" si="17"/>
        <v>-27730.941764419604</v>
      </c>
      <c r="M72" s="30">
        <f t="shared" si="17"/>
        <v>-27260.539792486034</v>
      </c>
      <c r="N72" s="30">
        <f t="shared" si="17"/>
        <v>-26798.125845041974</v>
      </c>
      <c r="O72" s="30">
        <f t="shared" si="17"/>
        <v>-26343.564111931268</v>
      </c>
      <c r="P72" s="30">
        <f t="shared" si="17"/>
        <v>-25896.721095116372</v>
      </c>
      <c r="Q72" s="30">
        <f t="shared" si="17"/>
        <v>-25457.46556925619</v>
      </c>
      <c r="R72" s="30">
        <f t="shared" si="17"/>
        <v>-25025.668542957072</v>
      </c>
      <c r="S72" s="30">
        <f t="shared" si="17"/>
        <v>-24601.203220685707</v>
      </c>
      <c r="T72" s="30">
        <f t="shared" si="17"/>
        <v>-24183.94496533239</v>
      </c>
      <c r="U72" s="30">
        <f t="shared" si="17"/>
        <v>-23773.771261413556</v>
      </c>
      <c r="V72" s="30">
        <f t="shared" si="17"/>
        <v>-23370.561678902788</v>
      </c>
      <c r="W72" s="30">
        <f t="shared" si="17"/>
        <v>-22974.197837679396</v>
      </c>
      <c r="X72" s="30">
        <f t="shared" si="17"/>
        <v>-22584.563372584049</v>
      </c>
      <c r="Y72" s="30">
        <f t="shared" si="17"/>
        <v>-22201.543899071112</v>
      </c>
      <c r="Z72" s="30">
        <f t="shared" si="17"/>
        <v>-21825.026979447419</v>
      </c>
      <c r="AA72" s="30">
        <f t="shared" si="17"/>
        <v>-21454.902089687483</v>
      </c>
      <c r="AB72" s="30">
        <f t="shared" si="17"/>
        <v>-21091.060586815332</v>
      </c>
      <c r="AC72" s="30">
        <f t="shared" si="17"/>
        <v>-20733.395676843178</v>
      </c>
      <c r="AD72" s="30">
        <f t="shared" si="17"/>
        <v>-20381.802383257414</v>
      </c>
      <c r="AE72" s="30">
        <f t="shared" si="17"/>
        <v>-20036.177516042721</v>
      </c>
      <c r="AF72" s="30">
        <f t="shared" si="17"/>
        <v>-19696.419641234865</v>
      </c>
      <c r="AG72" s="30">
        <f t="shared" si="17"/>
        <v>-19362.429050993291</v>
      </c>
      <c r="AH72" s="30">
        <f t="shared" si="17"/>
        <v>-19034.107734184581</v>
      </c>
      <c r="AI72" s="30">
        <f t="shared" si="17"/>
        <v>-18711.359347468046</v>
      </c>
      <c r="AJ72" s="30">
        <f t="shared" si="17"/>
        <v>146452.0711347232</v>
      </c>
      <c r="AK72" s="30">
        <f t="shared" si="17"/>
        <v>0</v>
      </c>
      <c r="AL72" s="30">
        <f t="shared" si="17"/>
        <v>0</v>
      </c>
    </row>
    <row r="73" spans="2:38" x14ac:dyDescent="0.25">
      <c r="B73" s="20" t="s">
        <v>52</v>
      </c>
      <c r="C73" s="18"/>
      <c r="D73" s="18"/>
      <c r="E73" s="87" t="b">
        <f>F73=SUM(F72:AL72)</f>
        <v>1</v>
      </c>
      <c r="F73" s="30">
        <f>NPV($C$13+$C$17,G71:AL71)+F71</f>
        <v>-2050077.5486309412</v>
      </c>
      <c r="G73" s="33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9"/>
    </row>
    <row r="74" spans="2:38" x14ac:dyDescent="0.25">
      <c r="B74" s="20"/>
      <c r="C74" s="18"/>
      <c r="D74" s="18"/>
      <c r="E74" s="18"/>
      <c r="F74" s="21"/>
      <c r="G74" s="33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9"/>
    </row>
    <row r="75" spans="2:38" x14ac:dyDescent="0.25">
      <c r="B75" s="17" t="s">
        <v>57</v>
      </c>
      <c r="C75" s="42" t="s">
        <v>58</v>
      </c>
      <c r="D75" s="18"/>
      <c r="E75" s="18"/>
      <c r="F75" s="18"/>
      <c r="G75" s="31">
        <v>98927.98904703233</v>
      </c>
      <c r="H75" s="31">
        <f>G75*(1+$C$15-$C$16)</f>
        <v>100411.90888273783</v>
      </c>
      <c r="I75" s="31">
        <f t="shared" ref="I75:AJ75" si="18">H75*(1+$C$15-$C$16)</f>
        <v>101918.08751597891</v>
      </c>
      <c r="J75" s="31">
        <f t="shared" si="18"/>
        <v>103446.85882871861</v>
      </c>
      <c r="K75" s="31">
        <f t="shared" si="18"/>
        <v>104998.56171114941</v>
      </c>
      <c r="L75" s="31">
        <f t="shared" si="18"/>
        <v>106573.54013681666</v>
      </c>
      <c r="M75" s="31">
        <f t="shared" si="18"/>
        <v>108172.14323886893</v>
      </c>
      <c r="N75" s="31">
        <f t="shared" si="18"/>
        <v>109794.72538745198</v>
      </c>
      <c r="O75" s="31">
        <f t="shared" si="18"/>
        <v>111441.64626826378</v>
      </c>
      <c r="P75" s="31">
        <f t="shared" si="18"/>
        <v>113113.27096228774</v>
      </c>
      <c r="Q75" s="31">
        <f t="shared" si="18"/>
        <v>114809.97002672208</v>
      </c>
      <c r="R75" s="31">
        <f t="shared" si="18"/>
        <v>116532.11957712292</v>
      </c>
      <c r="S75" s="31">
        <f t="shared" si="18"/>
        <v>118280.10137077978</v>
      </c>
      <c r="T75" s="31">
        <f t="shared" si="18"/>
        <v>120054.30289134149</v>
      </c>
      <c r="U75" s="31">
        <f t="shared" si="18"/>
        <v>121855.11743471163</v>
      </c>
      <c r="V75" s="31">
        <f t="shared" si="18"/>
        <v>123682.94419623232</v>
      </c>
      <c r="W75" s="31">
        <f t="shared" si="18"/>
        <v>125538.18835917582</v>
      </c>
      <c r="X75" s="31">
        <f t="shared" si="18"/>
        <v>127421.26118456348</v>
      </c>
      <c r="Y75" s="31">
        <f t="shared" si="18"/>
        <v>129332.58010233195</v>
      </c>
      <c r="Z75" s="31">
        <f t="shared" si="18"/>
        <v>131272.56880386695</v>
      </c>
      <c r="AA75" s="31">
        <f t="shared" si="18"/>
        <v>133241.65733592497</v>
      </c>
      <c r="AB75" s="31">
        <f t="shared" si="18"/>
        <v>135240.28219596387</v>
      </c>
      <c r="AC75" s="31">
        <f t="shared" si="18"/>
        <v>137268.88642890335</v>
      </c>
      <c r="AD75" s="31">
        <f t="shared" si="18"/>
        <v>139327.91972533692</v>
      </c>
      <c r="AE75" s="31">
        <f t="shared" si="18"/>
        <v>141417.838521217</v>
      </c>
      <c r="AF75" s="31">
        <f t="shared" si="18"/>
        <v>143539.10609903527</v>
      </c>
      <c r="AG75" s="31">
        <f t="shared" si="18"/>
        <v>145692.19269052081</v>
      </c>
      <c r="AH75" s="31">
        <f t="shared" si="18"/>
        <v>147877.57558087865</v>
      </c>
      <c r="AI75" s="31">
        <f t="shared" si="18"/>
        <v>150095.73921459186</v>
      </c>
      <c r="AJ75" s="31">
        <f t="shared" si="18"/>
        <v>152347.17530281076</v>
      </c>
      <c r="AK75" s="31"/>
      <c r="AL75" s="67"/>
    </row>
    <row r="76" spans="2:38" x14ac:dyDescent="0.25">
      <c r="B76" s="50" t="s">
        <v>50</v>
      </c>
      <c r="C76" s="18"/>
      <c r="D76" s="18"/>
      <c r="E76" s="18"/>
      <c r="F76" s="33">
        <f>NPV($C$13+$C$17,G75:AL75)</f>
        <v>2050077.5486309447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9"/>
    </row>
    <row r="77" spans="2:38" x14ac:dyDescent="0.25">
      <c r="B77" s="20"/>
      <c r="C77" s="18"/>
      <c r="D77" s="18"/>
      <c r="E77" s="18"/>
      <c r="F77" s="33">
        <f>F76+F73</f>
        <v>3.4924596548080444E-9</v>
      </c>
      <c r="G77" s="42" t="s">
        <v>79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9"/>
    </row>
    <row r="78" spans="2:38" x14ac:dyDescent="0.25">
      <c r="B78" s="20"/>
      <c r="C78" s="38" t="s">
        <v>20</v>
      </c>
      <c r="D78" s="39"/>
      <c r="E78" s="40">
        <f>G75/F12</f>
        <v>98.927989047032327</v>
      </c>
      <c r="F78" s="18" t="s">
        <v>26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9"/>
    </row>
    <row r="79" spans="2:38" x14ac:dyDescent="0.25">
      <c r="B79" s="34"/>
      <c r="C79" s="51"/>
      <c r="D79" s="35"/>
      <c r="E79" s="52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6"/>
    </row>
    <row r="80" spans="2:38" x14ac:dyDescent="0.25"/>
    <row r="81" spans="2:38" ht="15.75" x14ac:dyDescent="0.25">
      <c r="B81" s="84" t="s">
        <v>63</v>
      </c>
      <c r="C81" s="12"/>
      <c r="D81" s="12"/>
      <c r="E81" s="12" t="s">
        <v>44</v>
      </c>
      <c r="F81" s="12" t="str">
        <f>F51</f>
        <v>Begin 2016</v>
      </c>
      <c r="G81" s="12">
        <f t="shared" ref="G81:AL81" si="19">G51</f>
        <v>2016</v>
      </c>
      <c r="H81" s="12">
        <f t="shared" si="19"/>
        <v>2017</v>
      </c>
      <c r="I81" s="12">
        <f t="shared" si="19"/>
        <v>2018</v>
      </c>
      <c r="J81" s="12">
        <f t="shared" si="19"/>
        <v>2019</v>
      </c>
      <c r="K81" s="12">
        <f t="shared" si="19"/>
        <v>2020</v>
      </c>
      <c r="L81" s="12">
        <f t="shared" si="19"/>
        <v>2021</v>
      </c>
      <c r="M81" s="12">
        <f t="shared" si="19"/>
        <v>2022</v>
      </c>
      <c r="N81" s="12">
        <f t="shared" si="19"/>
        <v>2023</v>
      </c>
      <c r="O81" s="12">
        <f t="shared" si="19"/>
        <v>2024</v>
      </c>
      <c r="P81" s="12">
        <f t="shared" si="19"/>
        <v>2025</v>
      </c>
      <c r="Q81" s="12">
        <f t="shared" si="19"/>
        <v>2026</v>
      </c>
      <c r="R81" s="12">
        <f t="shared" si="19"/>
        <v>2027</v>
      </c>
      <c r="S81" s="12">
        <f t="shared" si="19"/>
        <v>2028</v>
      </c>
      <c r="T81" s="12">
        <f t="shared" si="19"/>
        <v>2029</v>
      </c>
      <c r="U81" s="12">
        <f t="shared" si="19"/>
        <v>2030</v>
      </c>
      <c r="V81" s="12">
        <f t="shared" si="19"/>
        <v>2031</v>
      </c>
      <c r="W81" s="12">
        <f t="shared" si="19"/>
        <v>2032</v>
      </c>
      <c r="X81" s="12">
        <f t="shared" si="19"/>
        <v>2033</v>
      </c>
      <c r="Y81" s="12">
        <f t="shared" si="19"/>
        <v>2034</v>
      </c>
      <c r="Z81" s="12">
        <f t="shared" si="19"/>
        <v>2035</v>
      </c>
      <c r="AA81" s="12">
        <f t="shared" si="19"/>
        <v>2036</v>
      </c>
      <c r="AB81" s="12">
        <f t="shared" si="19"/>
        <v>2037</v>
      </c>
      <c r="AC81" s="12">
        <f t="shared" si="19"/>
        <v>2038</v>
      </c>
      <c r="AD81" s="12">
        <f t="shared" si="19"/>
        <v>2039</v>
      </c>
      <c r="AE81" s="12">
        <f t="shared" si="19"/>
        <v>2040</v>
      </c>
      <c r="AF81" s="12">
        <f t="shared" si="19"/>
        <v>2041</v>
      </c>
      <c r="AG81" s="12">
        <f t="shared" si="19"/>
        <v>2042</v>
      </c>
      <c r="AH81" s="12">
        <f t="shared" si="19"/>
        <v>2043</v>
      </c>
      <c r="AI81" s="12">
        <f t="shared" si="19"/>
        <v>2044</v>
      </c>
      <c r="AJ81" s="12">
        <f t="shared" si="19"/>
        <v>2045</v>
      </c>
      <c r="AK81" s="12">
        <f t="shared" si="19"/>
        <v>2046</v>
      </c>
      <c r="AL81" s="12">
        <f t="shared" si="19"/>
        <v>2047</v>
      </c>
    </row>
    <row r="82" spans="2:38" x14ac:dyDescent="0.25">
      <c r="B82" s="14"/>
      <c r="C82" s="15"/>
      <c r="D82" s="15"/>
      <c r="E82" s="15" t="s">
        <v>45</v>
      </c>
      <c r="F82" s="15">
        <v>0</v>
      </c>
      <c r="G82" s="15">
        <f>F82+1</f>
        <v>1</v>
      </c>
      <c r="H82" s="15">
        <f t="shared" ref="H82:AL82" si="20">G82+1</f>
        <v>2</v>
      </c>
      <c r="I82" s="15">
        <f t="shared" si="20"/>
        <v>3</v>
      </c>
      <c r="J82" s="15">
        <f t="shared" si="20"/>
        <v>4</v>
      </c>
      <c r="K82" s="15">
        <f t="shared" si="20"/>
        <v>5</v>
      </c>
      <c r="L82" s="15">
        <f t="shared" si="20"/>
        <v>6</v>
      </c>
      <c r="M82" s="15">
        <f t="shared" si="20"/>
        <v>7</v>
      </c>
      <c r="N82" s="15">
        <f t="shared" si="20"/>
        <v>8</v>
      </c>
      <c r="O82" s="15">
        <f t="shared" si="20"/>
        <v>9</v>
      </c>
      <c r="P82" s="15">
        <f t="shared" si="20"/>
        <v>10</v>
      </c>
      <c r="Q82" s="15">
        <f t="shared" si="20"/>
        <v>11</v>
      </c>
      <c r="R82" s="15">
        <f t="shared" si="20"/>
        <v>12</v>
      </c>
      <c r="S82" s="15">
        <f t="shared" si="20"/>
        <v>13</v>
      </c>
      <c r="T82" s="15">
        <f t="shared" si="20"/>
        <v>14</v>
      </c>
      <c r="U82" s="15">
        <f t="shared" si="20"/>
        <v>15</v>
      </c>
      <c r="V82" s="15">
        <f t="shared" si="20"/>
        <v>16</v>
      </c>
      <c r="W82" s="15">
        <f t="shared" si="20"/>
        <v>17</v>
      </c>
      <c r="X82" s="15">
        <f t="shared" si="20"/>
        <v>18</v>
      </c>
      <c r="Y82" s="15">
        <f t="shared" si="20"/>
        <v>19</v>
      </c>
      <c r="Z82" s="15">
        <f t="shared" si="20"/>
        <v>20</v>
      </c>
      <c r="AA82" s="15">
        <f t="shared" si="20"/>
        <v>21</v>
      </c>
      <c r="AB82" s="15">
        <f t="shared" si="20"/>
        <v>22</v>
      </c>
      <c r="AC82" s="15">
        <f t="shared" si="20"/>
        <v>23</v>
      </c>
      <c r="AD82" s="15">
        <f t="shared" si="20"/>
        <v>24</v>
      </c>
      <c r="AE82" s="15">
        <f t="shared" si="20"/>
        <v>25</v>
      </c>
      <c r="AF82" s="15">
        <f t="shared" si="20"/>
        <v>26</v>
      </c>
      <c r="AG82" s="15">
        <f t="shared" si="20"/>
        <v>27</v>
      </c>
      <c r="AH82" s="15">
        <f t="shared" si="20"/>
        <v>28</v>
      </c>
      <c r="AI82" s="15">
        <f t="shared" si="20"/>
        <v>29</v>
      </c>
      <c r="AJ82" s="15">
        <f t="shared" si="20"/>
        <v>30</v>
      </c>
      <c r="AK82" s="15">
        <f t="shared" si="20"/>
        <v>31</v>
      </c>
      <c r="AL82" s="16">
        <f t="shared" si="20"/>
        <v>32</v>
      </c>
    </row>
    <row r="83" spans="2:38" x14ac:dyDescent="0.25">
      <c r="B83" s="20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9"/>
    </row>
    <row r="84" spans="2:38" x14ac:dyDescent="0.25">
      <c r="B84" s="41" t="s">
        <v>66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9"/>
    </row>
    <row r="85" spans="2:38" x14ac:dyDescent="0.25">
      <c r="B85" s="20" t="s">
        <v>0</v>
      </c>
      <c r="C85" s="21">
        <f>F16</f>
        <v>1200000</v>
      </c>
      <c r="D85" s="42" t="s">
        <v>18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9"/>
    </row>
    <row r="86" spans="2:38" x14ac:dyDescent="0.25">
      <c r="B86" s="20" t="s">
        <v>7</v>
      </c>
      <c r="C86" s="18">
        <v>25</v>
      </c>
      <c r="D86" s="42" t="s">
        <v>17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9"/>
    </row>
    <row r="87" spans="2:38" x14ac:dyDescent="0.25">
      <c r="B87" s="20" t="s">
        <v>14</v>
      </c>
      <c r="C87" s="9">
        <v>300000</v>
      </c>
      <c r="D87" s="42" t="s">
        <v>54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9"/>
    </row>
    <row r="88" spans="2:38" x14ac:dyDescent="0.25">
      <c r="B88" s="53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25"/>
    </row>
    <row r="89" spans="2:38" x14ac:dyDescent="0.25">
      <c r="B89" s="20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9"/>
    </row>
    <row r="90" spans="2:38" x14ac:dyDescent="0.25">
      <c r="B90" s="17" t="s">
        <v>48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9"/>
    </row>
    <row r="91" spans="2:38" x14ac:dyDescent="0.25">
      <c r="B91" s="26" t="s">
        <v>0</v>
      </c>
      <c r="C91" s="18"/>
      <c r="D91" s="18"/>
      <c r="F91" s="27">
        <f>-C85</f>
        <v>-1200000</v>
      </c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9"/>
    </row>
    <row r="92" spans="2:38" x14ac:dyDescent="0.25">
      <c r="B92" s="26" t="s">
        <v>55</v>
      </c>
      <c r="C92" s="18"/>
      <c r="D92" s="18"/>
      <c r="F92" s="27"/>
      <c r="G92" s="27">
        <f>-$O$11</f>
        <v>-24000</v>
      </c>
      <c r="H92" s="27">
        <f t="shared" ref="H92:AE92" si="21">G92*(1+$C$14)</f>
        <v>-24540</v>
      </c>
      <c r="I92" s="27">
        <f t="shared" si="21"/>
        <v>-25092.149999999998</v>
      </c>
      <c r="J92" s="27">
        <f t="shared" si="21"/>
        <v>-25656.723374999998</v>
      </c>
      <c r="K92" s="27">
        <f t="shared" si="21"/>
        <v>-26233.999650937498</v>
      </c>
      <c r="L92" s="27">
        <f t="shared" si="21"/>
        <v>-26824.264643083592</v>
      </c>
      <c r="M92" s="27">
        <f t="shared" si="21"/>
        <v>-27427.810597552972</v>
      </c>
      <c r="N92" s="27">
        <f t="shared" si="21"/>
        <v>-28044.936335997914</v>
      </c>
      <c r="O92" s="27">
        <f t="shared" si="21"/>
        <v>-28675.947403557868</v>
      </c>
      <c r="P92" s="27">
        <f t="shared" si="21"/>
        <v>-29321.15622013792</v>
      </c>
      <c r="Q92" s="27">
        <f t="shared" si="21"/>
        <v>-29980.882235091023</v>
      </c>
      <c r="R92" s="27">
        <f t="shared" si="21"/>
        <v>-30655.45208538057</v>
      </c>
      <c r="S92" s="27">
        <f t="shared" si="21"/>
        <v>-31345.199757301631</v>
      </c>
      <c r="T92" s="27">
        <f t="shared" si="21"/>
        <v>-32050.466751840915</v>
      </c>
      <c r="U92" s="27">
        <f t="shared" si="21"/>
        <v>-32771.602253757337</v>
      </c>
      <c r="V92" s="27">
        <f t="shared" si="21"/>
        <v>-33508.963304466874</v>
      </c>
      <c r="W92" s="27">
        <f t="shared" si="21"/>
        <v>-34262.914978817375</v>
      </c>
      <c r="X92" s="27">
        <f t="shared" si="21"/>
        <v>-35033.830565840763</v>
      </c>
      <c r="Y92" s="27">
        <f t="shared" si="21"/>
        <v>-35822.091753572182</v>
      </c>
      <c r="Z92" s="27">
        <f t="shared" si="21"/>
        <v>-36628.088818027558</v>
      </c>
      <c r="AA92" s="27">
        <f t="shared" si="21"/>
        <v>-37452.220816433175</v>
      </c>
      <c r="AB92" s="27">
        <f t="shared" si="21"/>
        <v>-38294.895784802917</v>
      </c>
      <c r="AC92" s="27">
        <f t="shared" si="21"/>
        <v>-39156.530939960983</v>
      </c>
      <c r="AD92" s="27">
        <f t="shared" si="21"/>
        <v>-40037.552886110105</v>
      </c>
      <c r="AE92" s="27">
        <f t="shared" si="21"/>
        <v>-40938.397826047578</v>
      </c>
      <c r="AF92" s="27"/>
      <c r="AG92" s="27"/>
      <c r="AH92" s="27"/>
      <c r="AI92" s="27"/>
      <c r="AJ92" s="27"/>
      <c r="AK92" s="27"/>
      <c r="AL92" s="64"/>
    </row>
    <row r="93" spans="2:38" x14ac:dyDescent="0.25">
      <c r="B93" s="26" t="s">
        <v>10</v>
      </c>
      <c r="C93" s="18"/>
      <c r="D93" s="18"/>
      <c r="F93" s="27"/>
      <c r="G93" s="27">
        <f>-$O$12</f>
        <v>-1800</v>
      </c>
      <c r="H93" s="27">
        <f t="shared" ref="H93:AE93" si="22">G93*(1+$C$15)</f>
        <v>-1836</v>
      </c>
      <c r="I93" s="27">
        <f t="shared" si="22"/>
        <v>-1872.72</v>
      </c>
      <c r="J93" s="27">
        <f t="shared" si="22"/>
        <v>-1910.1744000000001</v>
      </c>
      <c r="K93" s="27">
        <f t="shared" si="22"/>
        <v>-1948.3778880000002</v>
      </c>
      <c r="L93" s="27">
        <f t="shared" si="22"/>
        <v>-1987.3454457600003</v>
      </c>
      <c r="M93" s="27">
        <f t="shared" si="22"/>
        <v>-2027.0923546752003</v>
      </c>
      <c r="N93" s="27">
        <f t="shared" si="22"/>
        <v>-2067.6342017687043</v>
      </c>
      <c r="O93" s="27">
        <f t="shared" si="22"/>
        <v>-2108.9868858040786</v>
      </c>
      <c r="P93" s="27">
        <f t="shared" si="22"/>
        <v>-2151.1666235201601</v>
      </c>
      <c r="Q93" s="27">
        <f t="shared" si="22"/>
        <v>-2194.1899559905632</v>
      </c>
      <c r="R93" s="27">
        <f t="shared" si="22"/>
        <v>-2238.0737551103743</v>
      </c>
      <c r="S93" s="27">
        <f t="shared" si="22"/>
        <v>-2282.8352302125818</v>
      </c>
      <c r="T93" s="27">
        <f t="shared" si="22"/>
        <v>-2328.4919348168337</v>
      </c>
      <c r="U93" s="27">
        <f t="shared" si="22"/>
        <v>-2375.0617735131705</v>
      </c>
      <c r="V93" s="27">
        <f t="shared" si="22"/>
        <v>-2422.563008983434</v>
      </c>
      <c r="W93" s="27">
        <f t="shared" si="22"/>
        <v>-2471.0142691631027</v>
      </c>
      <c r="X93" s="27">
        <f t="shared" si="22"/>
        <v>-2520.4345545463648</v>
      </c>
      <c r="Y93" s="27">
        <f t="shared" si="22"/>
        <v>-2570.8432456372921</v>
      </c>
      <c r="Z93" s="27">
        <f t="shared" si="22"/>
        <v>-2622.260110550038</v>
      </c>
      <c r="AA93" s="27">
        <f t="shared" si="22"/>
        <v>-2674.7053127610388</v>
      </c>
      <c r="AB93" s="27">
        <f t="shared" si="22"/>
        <v>-2728.1994190162595</v>
      </c>
      <c r="AC93" s="27">
        <f t="shared" si="22"/>
        <v>-2782.7634073965846</v>
      </c>
      <c r="AD93" s="27">
        <f t="shared" si="22"/>
        <v>-2838.4186755445162</v>
      </c>
      <c r="AE93" s="27">
        <f t="shared" si="22"/>
        <v>-2895.1870490554065</v>
      </c>
      <c r="AF93" s="27"/>
      <c r="AG93" s="27"/>
      <c r="AH93" s="27"/>
      <c r="AI93" s="27"/>
      <c r="AJ93" s="27"/>
      <c r="AK93" s="27"/>
      <c r="AL93" s="64"/>
    </row>
    <row r="94" spans="2:38" x14ac:dyDescent="0.25">
      <c r="B94" s="26" t="s">
        <v>11</v>
      </c>
      <c r="C94" s="18"/>
      <c r="D94" s="18"/>
      <c r="F94" s="27"/>
      <c r="G94" s="27">
        <f>-$O$13</f>
        <v>-3600</v>
      </c>
      <c r="H94" s="27">
        <f t="shared" ref="H94:AE94" si="23">G94*(1+$C$14)</f>
        <v>-3681</v>
      </c>
      <c r="I94" s="27">
        <f t="shared" si="23"/>
        <v>-3763.8224999999998</v>
      </c>
      <c r="J94" s="27">
        <f t="shared" si="23"/>
        <v>-3848.5085062499998</v>
      </c>
      <c r="K94" s="27">
        <f t="shared" si="23"/>
        <v>-3935.0999476406246</v>
      </c>
      <c r="L94" s="27">
        <f t="shared" si="23"/>
        <v>-4023.6396964625383</v>
      </c>
      <c r="M94" s="27">
        <f t="shared" si="23"/>
        <v>-4114.1715896329451</v>
      </c>
      <c r="N94" s="27">
        <f t="shared" si="23"/>
        <v>-4206.7404503996859</v>
      </c>
      <c r="O94" s="27">
        <f t="shared" si="23"/>
        <v>-4301.3921105336785</v>
      </c>
      <c r="P94" s="27">
        <f t="shared" si="23"/>
        <v>-4398.1734330206864</v>
      </c>
      <c r="Q94" s="27">
        <f t="shared" si="23"/>
        <v>-4497.1323352636518</v>
      </c>
      <c r="R94" s="27">
        <f t="shared" si="23"/>
        <v>-4598.317812807084</v>
      </c>
      <c r="S94" s="27">
        <f t="shared" si="23"/>
        <v>-4701.7799635952433</v>
      </c>
      <c r="T94" s="27">
        <f t="shared" si="23"/>
        <v>-4807.5700127761365</v>
      </c>
      <c r="U94" s="27">
        <f t="shared" si="23"/>
        <v>-4915.7403380635997</v>
      </c>
      <c r="V94" s="27">
        <f t="shared" si="23"/>
        <v>-5026.3444956700305</v>
      </c>
      <c r="W94" s="27">
        <f t="shared" si="23"/>
        <v>-5139.4372468226056</v>
      </c>
      <c r="X94" s="27">
        <f t="shared" si="23"/>
        <v>-5255.0745848761144</v>
      </c>
      <c r="Y94" s="27">
        <f t="shared" si="23"/>
        <v>-5373.3137630358269</v>
      </c>
      <c r="Z94" s="27">
        <f t="shared" si="23"/>
        <v>-5494.2133227041331</v>
      </c>
      <c r="AA94" s="27">
        <f t="shared" si="23"/>
        <v>-5617.8331224649755</v>
      </c>
      <c r="AB94" s="27">
        <f t="shared" si="23"/>
        <v>-5744.2343677204371</v>
      </c>
      <c r="AC94" s="27">
        <f t="shared" si="23"/>
        <v>-5873.4796409941464</v>
      </c>
      <c r="AD94" s="27">
        <f t="shared" si="23"/>
        <v>-6005.6329329165146</v>
      </c>
      <c r="AE94" s="27">
        <f t="shared" si="23"/>
        <v>-6140.7596739071359</v>
      </c>
      <c r="AF94" s="27"/>
      <c r="AG94" s="27"/>
      <c r="AH94" s="27"/>
      <c r="AI94" s="27"/>
      <c r="AJ94" s="27"/>
      <c r="AK94" s="27"/>
      <c r="AL94" s="64"/>
    </row>
    <row r="95" spans="2:38" x14ac:dyDescent="0.25">
      <c r="B95" s="26" t="s">
        <v>24</v>
      </c>
      <c r="C95" s="18"/>
      <c r="D95" s="18"/>
      <c r="F95" s="27"/>
      <c r="G95" s="27">
        <f>G92*$C$12*(1-$J$15)</f>
        <v>-2016</v>
      </c>
      <c r="H95" s="27">
        <f t="shared" ref="H95:AE95" si="24">H92*$C$12*(1-$J$15)</f>
        <v>-2061.36</v>
      </c>
      <c r="I95" s="27">
        <f t="shared" si="24"/>
        <v>-2107.7406000000001</v>
      </c>
      <c r="J95" s="27">
        <f t="shared" si="24"/>
        <v>-2155.1647634999999</v>
      </c>
      <c r="K95" s="27">
        <f t="shared" si="24"/>
        <v>-2203.6559706787498</v>
      </c>
      <c r="L95" s="27">
        <f t="shared" si="24"/>
        <v>-2253.2382300190216</v>
      </c>
      <c r="M95" s="27">
        <f t="shared" si="24"/>
        <v>-2303.9360901944497</v>
      </c>
      <c r="N95" s="27">
        <f t="shared" si="24"/>
        <v>-2355.7746522238249</v>
      </c>
      <c r="O95" s="27">
        <f t="shared" si="24"/>
        <v>-2408.7795818988611</v>
      </c>
      <c r="P95" s="27">
        <f t="shared" si="24"/>
        <v>-2462.9771224915853</v>
      </c>
      <c r="Q95" s="27">
        <f t="shared" si="24"/>
        <v>-2518.3941077476461</v>
      </c>
      <c r="R95" s="27">
        <f t="shared" si="24"/>
        <v>-2575.0579751719679</v>
      </c>
      <c r="S95" s="27">
        <f t="shared" si="24"/>
        <v>-2632.9967796133369</v>
      </c>
      <c r="T95" s="27">
        <f t="shared" si="24"/>
        <v>-2692.2392071546369</v>
      </c>
      <c r="U95" s="27">
        <f t="shared" si="24"/>
        <v>-2752.8145893156161</v>
      </c>
      <c r="V95" s="27">
        <f t="shared" si="24"/>
        <v>-2814.7529175752175</v>
      </c>
      <c r="W95" s="27">
        <f t="shared" si="24"/>
        <v>-2878.0848582206595</v>
      </c>
      <c r="X95" s="27">
        <f t="shared" si="24"/>
        <v>-2942.8417675306241</v>
      </c>
      <c r="Y95" s="27">
        <f t="shared" si="24"/>
        <v>-3009.0557073000637</v>
      </c>
      <c r="Z95" s="27">
        <f t="shared" si="24"/>
        <v>-3076.7594607143146</v>
      </c>
      <c r="AA95" s="27">
        <f t="shared" si="24"/>
        <v>-3145.9865485803866</v>
      </c>
      <c r="AB95" s="27">
        <f t="shared" si="24"/>
        <v>-3216.7712459234449</v>
      </c>
      <c r="AC95" s="27">
        <f t="shared" si="24"/>
        <v>-3289.1485989567227</v>
      </c>
      <c r="AD95" s="27">
        <f t="shared" si="24"/>
        <v>-3363.1544424332492</v>
      </c>
      <c r="AE95" s="27">
        <f t="shared" si="24"/>
        <v>-3438.8254173879964</v>
      </c>
      <c r="AF95" s="27"/>
      <c r="AG95" s="27"/>
      <c r="AH95" s="27"/>
      <c r="AI95" s="27"/>
      <c r="AJ95" s="27"/>
      <c r="AK95" s="27"/>
      <c r="AL95" s="64"/>
    </row>
    <row r="96" spans="2:38" x14ac:dyDescent="0.25">
      <c r="B96" s="26"/>
      <c r="C96" s="18"/>
      <c r="D96" s="18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64"/>
    </row>
    <row r="97" spans="2:38" x14ac:dyDescent="0.25">
      <c r="B97" s="37" t="s">
        <v>47</v>
      </c>
      <c r="C97" s="18"/>
      <c r="D97" s="18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64"/>
    </row>
    <row r="98" spans="2:38" x14ac:dyDescent="0.25">
      <c r="B98" s="28" t="s">
        <v>14</v>
      </c>
      <c r="C98" s="5" t="s">
        <v>82</v>
      </c>
      <c r="D98" s="5"/>
      <c r="E98" s="4"/>
      <c r="F98" s="5"/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4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f>C87</f>
        <v>300000</v>
      </c>
      <c r="AF98" s="5"/>
      <c r="AG98" s="5"/>
      <c r="AH98" s="5"/>
      <c r="AI98" s="5"/>
      <c r="AJ98" s="5"/>
      <c r="AK98" s="5"/>
      <c r="AL98" s="65"/>
    </row>
    <row r="99" spans="2:38" x14ac:dyDescent="0.25">
      <c r="B99" s="20"/>
      <c r="C99" s="18"/>
      <c r="D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9"/>
    </row>
    <row r="100" spans="2:38" x14ac:dyDescent="0.25">
      <c r="B100" s="17" t="s">
        <v>46</v>
      </c>
      <c r="C100" s="18"/>
      <c r="D100" s="18"/>
      <c r="F100" s="30">
        <f t="shared" ref="F100:AE100" si="25">SUM(F91:F98)</f>
        <v>-1200000</v>
      </c>
      <c r="G100" s="30">
        <f t="shared" si="25"/>
        <v>-31416</v>
      </c>
      <c r="H100" s="30">
        <f t="shared" si="25"/>
        <v>-32118.36</v>
      </c>
      <c r="I100" s="30">
        <f t="shared" si="25"/>
        <v>-32836.433099999995</v>
      </c>
      <c r="J100" s="30">
        <f t="shared" si="25"/>
        <v>-33570.571044749995</v>
      </c>
      <c r="K100" s="30">
        <f t="shared" si="25"/>
        <v>-34321.133457256874</v>
      </c>
      <c r="L100" s="30">
        <f t="shared" si="25"/>
        <v>-35088.488015325158</v>
      </c>
      <c r="M100" s="30">
        <f t="shared" si="25"/>
        <v>-35873.010632055571</v>
      </c>
      <c r="N100" s="30">
        <f t="shared" si="25"/>
        <v>-36675.085640390127</v>
      </c>
      <c r="O100" s="30">
        <f t="shared" si="25"/>
        <v>-37495.105981794484</v>
      </c>
      <c r="P100" s="30">
        <f t="shared" si="25"/>
        <v>-38333.473399170347</v>
      </c>
      <c r="Q100" s="30">
        <f t="shared" si="25"/>
        <v>-39190.598634092887</v>
      </c>
      <c r="R100" s="30">
        <f t="shared" si="25"/>
        <v>-40066.901628470005</v>
      </c>
      <c r="S100" s="30">
        <f t="shared" si="25"/>
        <v>-40962.811730722788</v>
      </c>
      <c r="T100" s="30">
        <f t="shared" si="25"/>
        <v>-41878.767906588524</v>
      </c>
      <c r="U100" s="30">
        <f t="shared" si="25"/>
        <v>-42815.218954649725</v>
      </c>
      <c r="V100" s="30">
        <f t="shared" si="25"/>
        <v>-43772.623726695558</v>
      </c>
      <c r="W100" s="30">
        <f t="shared" si="25"/>
        <v>-44751.451353023745</v>
      </c>
      <c r="X100" s="30">
        <f t="shared" si="25"/>
        <v>-45752.181472793869</v>
      </c>
      <c r="Y100" s="30">
        <f t="shared" si="25"/>
        <v>-46775.304469545357</v>
      </c>
      <c r="Z100" s="30">
        <f t="shared" si="25"/>
        <v>-47821.321711996046</v>
      </c>
      <c r="AA100" s="30">
        <f t="shared" si="25"/>
        <v>-48890.74580023958</v>
      </c>
      <c r="AB100" s="30">
        <f t="shared" si="25"/>
        <v>-49984.100817463055</v>
      </c>
      <c r="AC100" s="30">
        <f t="shared" si="25"/>
        <v>-51101.922587308436</v>
      </c>
      <c r="AD100" s="30">
        <f t="shared" si="25"/>
        <v>-52244.758937004386</v>
      </c>
      <c r="AE100" s="30">
        <f t="shared" si="25"/>
        <v>246586.83003360187</v>
      </c>
      <c r="AF100" s="30"/>
      <c r="AG100" s="30"/>
      <c r="AH100" s="30"/>
      <c r="AI100" s="30"/>
      <c r="AJ100" s="30"/>
      <c r="AK100" s="30"/>
      <c r="AL100" s="66"/>
    </row>
    <row r="101" spans="2:38" x14ac:dyDescent="0.25">
      <c r="B101" s="17" t="s">
        <v>77</v>
      </c>
      <c r="C101" s="29"/>
      <c r="D101" s="29"/>
      <c r="F101" s="30">
        <f>F100/(1+$C$13+$C$17)^(G81-$C$11)</f>
        <v>-1200000</v>
      </c>
      <c r="G101" s="30">
        <f t="shared" ref="G101:AL101" si="26">G100/(1+$C$13+$C$17)^(H81-$C$11)</f>
        <v>-30207.692307692305</v>
      </c>
      <c r="H101" s="30">
        <f t="shared" si="26"/>
        <v>-29695.229289940824</v>
      </c>
      <c r="I101" s="30">
        <f t="shared" si="26"/>
        <v>-29191.469457641095</v>
      </c>
      <c r="J101" s="30">
        <f t="shared" si="26"/>
        <v>-28696.264824313454</v>
      </c>
      <c r="K101" s="30">
        <f t="shared" si="26"/>
        <v>-28209.469923224722</v>
      </c>
      <c r="L101" s="30">
        <f t="shared" si="26"/>
        <v>-27730.941764419604</v>
      </c>
      <c r="M101" s="30">
        <f t="shared" si="26"/>
        <v>-27260.539792486034</v>
      </c>
      <c r="N101" s="30">
        <f t="shared" si="26"/>
        <v>-26798.125845041974</v>
      </c>
      <c r="O101" s="30">
        <f t="shared" si="26"/>
        <v>-26343.564111931268</v>
      </c>
      <c r="P101" s="30">
        <f t="shared" si="26"/>
        <v>-25896.721095116372</v>
      </c>
      <c r="Q101" s="30">
        <f t="shared" si="26"/>
        <v>-25457.46556925619</v>
      </c>
      <c r="R101" s="30">
        <f t="shared" si="26"/>
        <v>-25025.668542957072</v>
      </c>
      <c r="S101" s="30">
        <f t="shared" si="26"/>
        <v>-24601.203220685707</v>
      </c>
      <c r="T101" s="30">
        <f t="shared" si="26"/>
        <v>-24183.94496533239</v>
      </c>
      <c r="U101" s="30">
        <f t="shared" si="26"/>
        <v>-23773.771261413556</v>
      </c>
      <c r="V101" s="30">
        <f t="shared" si="26"/>
        <v>-23370.561678902788</v>
      </c>
      <c r="W101" s="30">
        <f t="shared" si="26"/>
        <v>-22974.197837679396</v>
      </c>
      <c r="X101" s="30">
        <f t="shared" si="26"/>
        <v>-22584.563372584049</v>
      </c>
      <c r="Y101" s="30">
        <f t="shared" si="26"/>
        <v>-22201.543899071112</v>
      </c>
      <c r="Z101" s="30">
        <f t="shared" si="26"/>
        <v>-21825.026979447419</v>
      </c>
      <c r="AA101" s="30">
        <f t="shared" si="26"/>
        <v>-21454.902089687483</v>
      </c>
      <c r="AB101" s="30">
        <f t="shared" si="26"/>
        <v>-21091.060586815332</v>
      </c>
      <c r="AC101" s="30">
        <f t="shared" si="26"/>
        <v>-20733.395676843178</v>
      </c>
      <c r="AD101" s="30">
        <f t="shared" si="26"/>
        <v>-20381.802383257414</v>
      </c>
      <c r="AE101" s="30">
        <f t="shared" si="26"/>
        <v>92498.8631601464</v>
      </c>
      <c r="AF101" s="30">
        <f t="shared" si="26"/>
        <v>0</v>
      </c>
      <c r="AG101" s="30">
        <f t="shared" si="26"/>
        <v>0</v>
      </c>
      <c r="AH101" s="30">
        <f t="shared" si="26"/>
        <v>0</v>
      </c>
      <c r="AI101" s="30">
        <f t="shared" si="26"/>
        <v>0</v>
      </c>
      <c r="AJ101" s="30">
        <f t="shared" si="26"/>
        <v>0</v>
      </c>
      <c r="AK101" s="30">
        <f t="shared" si="26"/>
        <v>0</v>
      </c>
      <c r="AL101" s="66">
        <f t="shared" si="26"/>
        <v>0</v>
      </c>
    </row>
    <row r="102" spans="2:38" x14ac:dyDescent="0.25">
      <c r="B102" s="20" t="s">
        <v>52</v>
      </c>
      <c r="C102" s="18"/>
      <c r="D102" s="18"/>
      <c r="E102" s="87" t="b">
        <f>F102=SUM(F101:AL101)</f>
        <v>1</v>
      </c>
      <c r="F102" s="30">
        <f>NPV($C$13+$C$17,G100:AL100)+F100</f>
        <v>-1707190.2633155943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9"/>
    </row>
    <row r="103" spans="2:38" x14ac:dyDescent="0.25">
      <c r="B103" s="20"/>
      <c r="C103" s="18"/>
      <c r="D103" s="18"/>
      <c r="F103" s="21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9"/>
    </row>
    <row r="104" spans="2:38" x14ac:dyDescent="0.25">
      <c r="B104" s="17" t="s">
        <v>57</v>
      </c>
      <c r="C104" s="42" t="s">
        <v>58</v>
      </c>
      <c r="F104" s="18"/>
      <c r="G104" s="31">
        <v>93652.227101996017</v>
      </c>
      <c r="H104" s="31">
        <f>G104*(1+$C$15-$C$16)</f>
        <v>95057.010508525971</v>
      </c>
      <c r="I104" s="31">
        <f t="shared" ref="I104:AE104" si="27">H104*(1+$C$15-$C$16)</f>
        <v>96482.86566615387</v>
      </c>
      <c r="J104" s="31">
        <f t="shared" si="27"/>
        <v>97930.108651146191</v>
      </c>
      <c r="K104" s="31">
        <f t="shared" si="27"/>
        <v>99399.0602809134</v>
      </c>
      <c r="L104" s="31">
        <f t="shared" si="27"/>
        <v>100890.04618512711</v>
      </c>
      <c r="M104" s="31">
        <f t="shared" si="27"/>
        <v>102403.39687790403</v>
      </c>
      <c r="N104" s="31">
        <f t="shared" si="27"/>
        <v>103939.4478310726</v>
      </c>
      <c r="O104" s="31">
        <f t="shared" si="27"/>
        <v>105498.5395485387</v>
      </c>
      <c r="P104" s="31">
        <f t="shared" si="27"/>
        <v>107081.0176417668</v>
      </c>
      <c r="Q104" s="31">
        <f t="shared" si="27"/>
        <v>108687.23290639331</v>
      </c>
      <c r="R104" s="31">
        <f t="shared" si="27"/>
        <v>110317.54139998923</v>
      </c>
      <c r="S104" s="31">
        <f t="shared" si="27"/>
        <v>111972.30452098908</v>
      </c>
      <c r="T104" s="31">
        <f t="shared" si="27"/>
        <v>113651.88908880393</v>
      </c>
      <c r="U104" s="31">
        <f t="shared" si="27"/>
        <v>115356.66742513601</v>
      </c>
      <c r="V104" s="31">
        <f t="shared" si="27"/>
        <v>117087.01743651307</v>
      </c>
      <c r="W104" s="31">
        <f t="shared" si="27"/>
        <v>118843.32269806077</v>
      </c>
      <c r="X104" s="31">
        <f t="shared" si="27"/>
        <v>120625.9725385317</v>
      </c>
      <c r="Y104" s="31">
        <f t="shared" si="27"/>
        <v>122435.36212660969</v>
      </c>
      <c r="Z104" s="31">
        <f t="shared" si="27"/>
        <v>124271.89255850884</v>
      </c>
      <c r="AA104" s="31">
        <f t="shared" si="27"/>
        <v>126135.97094688649</v>
      </c>
      <c r="AB104" s="31">
        <f t="shared" si="27"/>
        <v>128028.0105110898</v>
      </c>
      <c r="AC104" s="31">
        <f t="shared" si="27"/>
        <v>129948.43066875616</v>
      </c>
      <c r="AD104" s="31">
        <f t="shared" si="27"/>
        <v>131897.65712878751</v>
      </c>
      <c r="AE104" s="31">
        <f t="shared" si="27"/>
        <v>133876.12198571934</v>
      </c>
      <c r="AF104" s="31"/>
      <c r="AG104" s="31"/>
      <c r="AH104" s="31"/>
      <c r="AI104" s="31"/>
      <c r="AJ104" s="31"/>
      <c r="AK104" s="31"/>
      <c r="AL104" s="67"/>
    </row>
    <row r="105" spans="2:38" x14ac:dyDescent="0.25">
      <c r="B105" s="20" t="s">
        <v>19</v>
      </c>
      <c r="C105" s="18"/>
      <c r="F105" s="33">
        <f>NPV($C$13+$C$17,G104:AL104)</f>
        <v>1707190.2633155943</v>
      </c>
      <c r="G105" s="18"/>
      <c r="H105" s="21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9"/>
    </row>
    <row r="106" spans="2:38" x14ac:dyDescent="0.25">
      <c r="B106" s="20"/>
      <c r="C106" s="18"/>
      <c r="D106" s="18"/>
      <c r="F106" s="33">
        <f>F105+F102</f>
        <v>0</v>
      </c>
      <c r="G106" s="6" t="s">
        <v>79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9"/>
    </row>
    <row r="107" spans="2:38" x14ac:dyDescent="0.25">
      <c r="B107" s="20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9"/>
    </row>
    <row r="108" spans="2:38" x14ac:dyDescent="0.25">
      <c r="B108" s="20"/>
      <c r="C108" s="38" t="s">
        <v>20</v>
      </c>
      <c r="D108" s="39"/>
      <c r="E108" s="40">
        <f>G104/F12</f>
        <v>93.652227101996019</v>
      </c>
      <c r="F108" s="18" t="s">
        <v>26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9"/>
    </row>
    <row r="109" spans="2:38" x14ac:dyDescent="0.25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6"/>
    </row>
    <row r="110" spans="2:38" x14ac:dyDescent="0.25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</row>
    <row r="111" spans="2:38" ht="15.75" x14ac:dyDescent="0.25">
      <c r="B111" s="84" t="s">
        <v>64</v>
      </c>
      <c r="C111" s="12"/>
      <c r="D111" s="12"/>
      <c r="E111" s="12" t="s">
        <v>44</v>
      </c>
      <c r="F111" s="12" t="str">
        <f>F22</f>
        <v>Begin 2016</v>
      </c>
      <c r="G111" s="12">
        <f t="shared" ref="G111:AL111" si="28">G22</f>
        <v>2016</v>
      </c>
      <c r="H111" s="12">
        <f t="shared" si="28"/>
        <v>2017</v>
      </c>
      <c r="I111" s="12">
        <f t="shared" si="28"/>
        <v>2018</v>
      </c>
      <c r="J111" s="12">
        <f t="shared" si="28"/>
        <v>2019</v>
      </c>
      <c r="K111" s="12">
        <f t="shared" si="28"/>
        <v>2020</v>
      </c>
      <c r="L111" s="12">
        <f t="shared" si="28"/>
        <v>2021</v>
      </c>
      <c r="M111" s="12">
        <f t="shared" si="28"/>
        <v>2022</v>
      </c>
      <c r="N111" s="12">
        <f t="shared" si="28"/>
        <v>2023</v>
      </c>
      <c r="O111" s="12">
        <f t="shared" si="28"/>
        <v>2024</v>
      </c>
      <c r="P111" s="12">
        <f t="shared" si="28"/>
        <v>2025</v>
      </c>
      <c r="Q111" s="12">
        <f t="shared" si="28"/>
        <v>2026</v>
      </c>
      <c r="R111" s="12">
        <f t="shared" si="28"/>
        <v>2027</v>
      </c>
      <c r="S111" s="12">
        <f t="shared" si="28"/>
        <v>2028</v>
      </c>
      <c r="T111" s="12">
        <f t="shared" si="28"/>
        <v>2029</v>
      </c>
      <c r="U111" s="12">
        <f t="shared" si="28"/>
        <v>2030</v>
      </c>
      <c r="V111" s="12">
        <f t="shared" si="28"/>
        <v>2031</v>
      </c>
      <c r="W111" s="12">
        <f t="shared" si="28"/>
        <v>2032</v>
      </c>
      <c r="X111" s="12">
        <f t="shared" si="28"/>
        <v>2033</v>
      </c>
      <c r="Y111" s="12">
        <f t="shared" si="28"/>
        <v>2034</v>
      </c>
      <c r="Z111" s="12">
        <f t="shared" si="28"/>
        <v>2035</v>
      </c>
      <c r="AA111" s="12">
        <f t="shared" si="28"/>
        <v>2036</v>
      </c>
      <c r="AB111" s="12">
        <f t="shared" si="28"/>
        <v>2037</v>
      </c>
      <c r="AC111" s="12">
        <f t="shared" si="28"/>
        <v>2038</v>
      </c>
      <c r="AD111" s="12">
        <f t="shared" si="28"/>
        <v>2039</v>
      </c>
      <c r="AE111" s="12">
        <f t="shared" si="28"/>
        <v>2040</v>
      </c>
      <c r="AF111" s="12">
        <f t="shared" si="28"/>
        <v>2041</v>
      </c>
      <c r="AG111" s="12">
        <f t="shared" si="28"/>
        <v>2042</v>
      </c>
      <c r="AH111" s="12">
        <f t="shared" si="28"/>
        <v>2043</v>
      </c>
      <c r="AI111" s="12">
        <f t="shared" si="28"/>
        <v>2044</v>
      </c>
      <c r="AJ111" s="12">
        <f t="shared" si="28"/>
        <v>2045</v>
      </c>
      <c r="AK111" s="12">
        <f t="shared" si="28"/>
        <v>2046</v>
      </c>
      <c r="AL111" s="12">
        <f t="shared" si="28"/>
        <v>2047</v>
      </c>
    </row>
    <row r="112" spans="2:38" x14ac:dyDescent="0.25">
      <c r="B112" s="14"/>
      <c r="C112" s="15"/>
      <c r="D112" s="15"/>
      <c r="E112" s="15" t="s">
        <v>45</v>
      </c>
      <c r="F112" s="15">
        <v>0</v>
      </c>
      <c r="G112" s="15">
        <f>F112+1</f>
        <v>1</v>
      </c>
      <c r="H112" s="15">
        <f t="shared" ref="H112:AL112" si="29">G112+1</f>
        <v>2</v>
      </c>
      <c r="I112" s="15">
        <f t="shared" si="29"/>
        <v>3</v>
      </c>
      <c r="J112" s="15">
        <f t="shared" si="29"/>
        <v>4</v>
      </c>
      <c r="K112" s="15">
        <f t="shared" si="29"/>
        <v>5</v>
      </c>
      <c r="L112" s="15">
        <f t="shared" si="29"/>
        <v>6</v>
      </c>
      <c r="M112" s="15">
        <f t="shared" si="29"/>
        <v>7</v>
      </c>
      <c r="N112" s="15">
        <f t="shared" si="29"/>
        <v>8</v>
      </c>
      <c r="O112" s="15">
        <f t="shared" si="29"/>
        <v>9</v>
      </c>
      <c r="P112" s="15">
        <f t="shared" si="29"/>
        <v>10</v>
      </c>
      <c r="Q112" s="15">
        <f t="shared" si="29"/>
        <v>11</v>
      </c>
      <c r="R112" s="15">
        <f t="shared" si="29"/>
        <v>12</v>
      </c>
      <c r="S112" s="15">
        <f t="shared" si="29"/>
        <v>13</v>
      </c>
      <c r="T112" s="15">
        <f t="shared" si="29"/>
        <v>14</v>
      </c>
      <c r="U112" s="15">
        <f t="shared" si="29"/>
        <v>15</v>
      </c>
      <c r="V112" s="15">
        <f t="shared" si="29"/>
        <v>16</v>
      </c>
      <c r="W112" s="15">
        <f t="shared" si="29"/>
        <v>17</v>
      </c>
      <c r="X112" s="15">
        <f t="shared" si="29"/>
        <v>18</v>
      </c>
      <c r="Y112" s="15">
        <f t="shared" si="29"/>
        <v>19</v>
      </c>
      <c r="Z112" s="15">
        <f t="shared" si="29"/>
        <v>20</v>
      </c>
      <c r="AA112" s="15">
        <f t="shared" si="29"/>
        <v>21</v>
      </c>
      <c r="AB112" s="15">
        <f t="shared" si="29"/>
        <v>22</v>
      </c>
      <c r="AC112" s="15">
        <f t="shared" si="29"/>
        <v>23</v>
      </c>
      <c r="AD112" s="15">
        <f t="shared" si="29"/>
        <v>24</v>
      </c>
      <c r="AE112" s="15">
        <f t="shared" si="29"/>
        <v>25</v>
      </c>
      <c r="AF112" s="15">
        <f t="shared" si="29"/>
        <v>26</v>
      </c>
      <c r="AG112" s="15">
        <f t="shared" si="29"/>
        <v>27</v>
      </c>
      <c r="AH112" s="15">
        <f t="shared" si="29"/>
        <v>28</v>
      </c>
      <c r="AI112" s="15">
        <f t="shared" si="29"/>
        <v>29</v>
      </c>
      <c r="AJ112" s="15">
        <f t="shared" si="29"/>
        <v>30</v>
      </c>
      <c r="AK112" s="15">
        <f t="shared" si="29"/>
        <v>31</v>
      </c>
      <c r="AL112" s="16">
        <f t="shared" si="29"/>
        <v>32</v>
      </c>
    </row>
    <row r="113" spans="2:38" x14ac:dyDescent="0.25"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9"/>
    </row>
    <row r="114" spans="2:38" x14ac:dyDescent="0.25">
      <c r="B114" s="41" t="s">
        <v>65</v>
      </c>
      <c r="C114" s="18"/>
      <c r="D114" s="18"/>
      <c r="E114" s="18"/>
      <c r="F114" s="18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9"/>
    </row>
    <row r="115" spans="2:38" x14ac:dyDescent="0.25">
      <c r="B115" s="20" t="s">
        <v>0</v>
      </c>
      <c r="C115" s="21">
        <f>F16</f>
        <v>1200000</v>
      </c>
      <c r="D115" s="42" t="s">
        <v>18</v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9"/>
    </row>
    <row r="116" spans="2:38" x14ac:dyDescent="0.25">
      <c r="B116" s="20" t="s">
        <v>7</v>
      </c>
      <c r="C116" s="18">
        <v>25</v>
      </c>
      <c r="D116" s="42" t="s">
        <v>17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9"/>
    </row>
    <row r="117" spans="2:38" x14ac:dyDescent="0.25">
      <c r="B117" s="20" t="s">
        <v>14</v>
      </c>
      <c r="C117" s="9">
        <v>300000</v>
      </c>
      <c r="D117" s="42" t="s">
        <v>54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9"/>
    </row>
    <row r="118" spans="2:38" x14ac:dyDescent="0.25">
      <c r="B118" s="53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25"/>
    </row>
    <row r="119" spans="2:38" x14ac:dyDescent="0.25">
      <c r="B119" s="17" t="s">
        <v>48</v>
      </c>
      <c r="C119" s="2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9"/>
    </row>
    <row r="120" spans="2:38" x14ac:dyDescent="0.25">
      <c r="B120" s="26" t="s">
        <v>56</v>
      </c>
      <c r="C120" s="68"/>
      <c r="D120" s="18"/>
      <c r="E120" s="18"/>
      <c r="F120" s="18"/>
      <c r="G120" s="70">
        <f t="shared" ref="G120:AE120" si="30">PMT($C$13+$C$17,$C$116,$C$115,-$C$117)</f>
        <v>-69610.766507809138</v>
      </c>
      <c r="H120" s="70">
        <f t="shared" si="30"/>
        <v>-69610.766507809138</v>
      </c>
      <c r="I120" s="70">
        <f t="shared" si="30"/>
        <v>-69610.766507809138</v>
      </c>
      <c r="J120" s="70">
        <f t="shared" si="30"/>
        <v>-69610.766507809138</v>
      </c>
      <c r="K120" s="70">
        <f t="shared" si="30"/>
        <v>-69610.766507809138</v>
      </c>
      <c r="L120" s="70">
        <f t="shared" si="30"/>
        <v>-69610.766507809138</v>
      </c>
      <c r="M120" s="70">
        <f t="shared" si="30"/>
        <v>-69610.766507809138</v>
      </c>
      <c r="N120" s="70">
        <f t="shared" si="30"/>
        <v>-69610.766507809138</v>
      </c>
      <c r="O120" s="70">
        <f t="shared" si="30"/>
        <v>-69610.766507809138</v>
      </c>
      <c r="P120" s="70">
        <f t="shared" si="30"/>
        <v>-69610.766507809138</v>
      </c>
      <c r="Q120" s="70">
        <f t="shared" si="30"/>
        <v>-69610.766507809138</v>
      </c>
      <c r="R120" s="70">
        <f t="shared" si="30"/>
        <v>-69610.766507809138</v>
      </c>
      <c r="S120" s="70">
        <f t="shared" si="30"/>
        <v>-69610.766507809138</v>
      </c>
      <c r="T120" s="70">
        <f t="shared" si="30"/>
        <v>-69610.766507809138</v>
      </c>
      <c r="U120" s="70">
        <f t="shared" si="30"/>
        <v>-69610.766507809138</v>
      </c>
      <c r="V120" s="70">
        <f t="shared" si="30"/>
        <v>-69610.766507809138</v>
      </c>
      <c r="W120" s="70">
        <f t="shared" si="30"/>
        <v>-69610.766507809138</v>
      </c>
      <c r="X120" s="70">
        <f t="shared" si="30"/>
        <v>-69610.766507809138</v>
      </c>
      <c r="Y120" s="70">
        <f t="shared" si="30"/>
        <v>-69610.766507809138</v>
      </c>
      <c r="Z120" s="70">
        <f t="shared" si="30"/>
        <v>-69610.766507809138</v>
      </c>
      <c r="AA120" s="70">
        <f t="shared" si="30"/>
        <v>-69610.766507809138</v>
      </c>
      <c r="AB120" s="70">
        <f t="shared" si="30"/>
        <v>-69610.766507809138</v>
      </c>
      <c r="AC120" s="70">
        <f t="shared" si="30"/>
        <v>-69610.766507809138</v>
      </c>
      <c r="AD120" s="70">
        <f t="shared" si="30"/>
        <v>-69610.766507809138</v>
      </c>
      <c r="AE120" s="70">
        <f t="shared" si="30"/>
        <v>-69610.766507809138</v>
      </c>
      <c r="AF120" s="70"/>
      <c r="AG120" s="70"/>
      <c r="AH120" s="70"/>
      <c r="AI120" s="70"/>
      <c r="AJ120" s="70"/>
      <c r="AK120" s="70"/>
      <c r="AL120" s="71"/>
    </row>
    <row r="121" spans="2:38" x14ac:dyDescent="0.25">
      <c r="B121" s="26" t="s">
        <v>55</v>
      </c>
      <c r="C121" s="18"/>
      <c r="D121" s="18"/>
      <c r="E121" s="18"/>
      <c r="F121" s="27"/>
      <c r="G121" s="27">
        <f>-$O$11</f>
        <v>-24000</v>
      </c>
      <c r="H121" s="27">
        <f t="shared" ref="H121:AE121" si="31">G121*(1+$C$14)</f>
        <v>-24540</v>
      </c>
      <c r="I121" s="27">
        <f t="shared" si="31"/>
        <v>-25092.149999999998</v>
      </c>
      <c r="J121" s="27">
        <f t="shared" si="31"/>
        <v>-25656.723374999998</v>
      </c>
      <c r="K121" s="27">
        <f t="shared" si="31"/>
        <v>-26233.999650937498</v>
      </c>
      <c r="L121" s="27">
        <f t="shared" si="31"/>
        <v>-26824.264643083592</v>
      </c>
      <c r="M121" s="27">
        <f t="shared" si="31"/>
        <v>-27427.810597552972</v>
      </c>
      <c r="N121" s="27">
        <f t="shared" si="31"/>
        <v>-28044.936335997914</v>
      </c>
      <c r="O121" s="27">
        <f t="shared" si="31"/>
        <v>-28675.947403557868</v>
      </c>
      <c r="P121" s="27">
        <f t="shared" si="31"/>
        <v>-29321.15622013792</v>
      </c>
      <c r="Q121" s="27">
        <f t="shared" si="31"/>
        <v>-29980.882235091023</v>
      </c>
      <c r="R121" s="27">
        <f t="shared" si="31"/>
        <v>-30655.45208538057</v>
      </c>
      <c r="S121" s="27">
        <f t="shared" si="31"/>
        <v>-31345.199757301631</v>
      </c>
      <c r="T121" s="27">
        <f t="shared" si="31"/>
        <v>-32050.466751840915</v>
      </c>
      <c r="U121" s="27">
        <f t="shared" si="31"/>
        <v>-32771.602253757337</v>
      </c>
      <c r="V121" s="27">
        <f t="shared" si="31"/>
        <v>-33508.963304466874</v>
      </c>
      <c r="W121" s="27">
        <f t="shared" si="31"/>
        <v>-34262.914978817375</v>
      </c>
      <c r="X121" s="27">
        <f t="shared" si="31"/>
        <v>-35033.830565840763</v>
      </c>
      <c r="Y121" s="27">
        <f t="shared" si="31"/>
        <v>-35822.091753572182</v>
      </c>
      <c r="Z121" s="27">
        <f t="shared" si="31"/>
        <v>-36628.088818027558</v>
      </c>
      <c r="AA121" s="27">
        <f t="shared" si="31"/>
        <v>-37452.220816433175</v>
      </c>
      <c r="AB121" s="27">
        <f t="shared" si="31"/>
        <v>-38294.895784802917</v>
      </c>
      <c r="AC121" s="27">
        <f t="shared" si="31"/>
        <v>-39156.530939960983</v>
      </c>
      <c r="AD121" s="27">
        <f t="shared" si="31"/>
        <v>-40037.552886110105</v>
      </c>
      <c r="AE121" s="27">
        <f t="shared" si="31"/>
        <v>-40938.397826047578</v>
      </c>
      <c r="AF121" s="27"/>
      <c r="AG121" s="27"/>
      <c r="AH121" s="27"/>
      <c r="AI121" s="27"/>
      <c r="AJ121" s="27"/>
      <c r="AK121" s="27"/>
      <c r="AL121" s="64"/>
    </row>
    <row r="122" spans="2:38" x14ac:dyDescent="0.25">
      <c r="B122" s="26" t="s">
        <v>10</v>
      </c>
      <c r="C122" s="18"/>
      <c r="D122" s="18"/>
      <c r="E122" s="18"/>
      <c r="F122" s="27"/>
      <c r="G122" s="27">
        <f>-$O$12</f>
        <v>-1800</v>
      </c>
      <c r="H122" s="27">
        <f t="shared" ref="H122:AE122" si="32">G122*(1+$C$15)</f>
        <v>-1836</v>
      </c>
      <c r="I122" s="27">
        <f t="shared" si="32"/>
        <v>-1872.72</v>
      </c>
      <c r="J122" s="27">
        <f t="shared" si="32"/>
        <v>-1910.1744000000001</v>
      </c>
      <c r="K122" s="27">
        <f t="shared" si="32"/>
        <v>-1948.3778880000002</v>
      </c>
      <c r="L122" s="27">
        <f t="shared" si="32"/>
        <v>-1987.3454457600003</v>
      </c>
      <c r="M122" s="27">
        <f t="shared" si="32"/>
        <v>-2027.0923546752003</v>
      </c>
      <c r="N122" s="27">
        <f t="shared" si="32"/>
        <v>-2067.6342017687043</v>
      </c>
      <c r="O122" s="27">
        <f t="shared" si="32"/>
        <v>-2108.9868858040786</v>
      </c>
      <c r="P122" s="27">
        <f t="shared" si="32"/>
        <v>-2151.1666235201601</v>
      </c>
      <c r="Q122" s="27">
        <f t="shared" si="32"/>
        <v>-2194.1899559905632</v>
      </c>
      <c r="R122" s="27">
        <f t="shared" si="32"/>
        <v>-2238.0737551103743</v>
      </c>
      <c r="S122" s="27">
        <f t="shared" si="32"/>
        <v>-2282.8352302125818</v>
      </c>
      <c r="T122" s="27">
        <f t="shared" si="32"/>
        <v>-2328.4919348168337</v>
      </c>
      <c r="U122" s="27">
        <f t="shared" si="32"/>
        <v>-2375.0617735131705</v>
      </c>
      <c r="V122" s="27">
        <f t="shared" si="32"/>
        <v>-2422.563008983434</v>
      </c>
      <c r="W122" s="27">
        <f t="shared" si="32"/>
        <v>-2471.0142691631027</v>
      </c>
      <c r="X122" s="27">
        <f t="shared" si="32"/>
        <v>-2520.4345545463648</v>
      </c>
      <c r="Y122" s="27">
        <f t="shared" si="32"/>
        <v>-2570.8432456372921</v>
      </c>
      <c r="Z122" s="27">
        <f t="shared" si="32"/>
        <v>-2622.260110550038</v>
      </c>
      <c r="AA122" s="27">
        <f t="shared" si="32"/>
        <v>-2674.7053127610388</v>
      </c>
      <c r="AB122" s="27">
        <f t="shared" si="32"/>
        <v>-2728.1994190162595</v>
      </c>
      <c r="AC122" s="27">
        <f t="shared" si="32"/>
        <v>-2782.7634073965846</v>
      </c>
      <c r="AD122" s="27">
        <f t="shared" si="32"/>
        <v>-2838.4186755445162</v>
      </c>
      <c r="AE122" s="27">
        <f t="shared" si="32"/>
        <v>-2895.1870490554065</v>
      </c>
      <c r="AF122" s="27"/>
      <c r="AG122" s="27"/>
      <c r="AH122" s="27"/>
      <c r="AI122" s="27"/>
      <c r="AJ122" s="27"/>
      <c r="AK122" s="27"/>
      <c r="AL122" s="64"/>
    </row>
    <row r="123" spans="2:38" x14ac:dyDescent="0.25">
      <c r="B123" s="26" t="s">
        <v>11</v>
      </c>
      <c r="C123" s="18"/>
      <c r="D123" s="18"/>
      <c r="E123" s="18"/>
      <c r="F123" s="27"/>
      <c r="G123" s="27">
        <f>-$O$13</f>
        <v>-3600</v>
      </c>
      <c r="H123" s="27">
        <f t="shared" ref="H123:AE123" si="33">G123*(1+$C$14)</f>
        <v>-3681</v>
      </c>
      <c r="I123" s="27">
        <f t="shared" si="33"/>
        <v>-3763.8224999999998</v>
      </c>
      <c r="J123" s="27">
        <f t="shared" si="33"/>
        <v>-3848.5085062499998</v>
      </c>
      <c r="K123" s="27">
        <f t="shared" si="33"/>
        <v>-3935.0999476406246</v>
      </c>
      <c r="L123" s="27">
        <f t="shared" si="33"/>
        <v>-4023.6396964625383</v>
      </c>
      <c r="M123" s="27">
        <f t="shared" si="33"/>
        <v>-4114.1715896329451</v>
      </c>
      <c r="N123" s="27">
        <f t="shared" si="33"/>
        <v>-4206.7404503996859</v>
      </c>
      <c r="O123" s="27">
        <f t="shared" si="33"/>
        <v>-4301.3921105336785</v>
      </c>
      <c r="P123" s="27">
        <f t="shared" si="33"/>
        <v>-4398.1734330206864</v>
      </c>
      <c r="Q123" s="27">
        <f t="shared" si="33"/>
        <v>-4497.1323352636518</v>
      </c>
      <c r="R123" s="27">
        <f t="shared" si="33"/>
        <v>-4598.317812807084</v>
      </c>
      <c r="S123" s="27">
        <f t="shared" si="33"/>
        <v>-4701.7799635952433</v>
      </c>
      <c r="T123" s="27">
        <f t="shared" si="33"/>
        <v>-4807.5700127761365</v>
      </c>
      <c r="U123" s="27">
        <f t="shared" si="33"/>
        <v>-4915.7403380635997</v>
      </c>
      <c r="V123" s="27">
        <f t="shared" si="33"/>
        <v>-5026.3444956700305</v>
      </c>
      <c r="W123" s="27">
        <f t="shared" si="33"/>
        <v>-5139.4372468226056</v>
      </c>
      <c r="X123" s="27">
        <f t="shared" si="33"/>
        <v>-5255.0745848761144</v>
      </c>
      <c r="Y123" s="27">
        <f t="shared" si="33"/>
        <v>-5373.3137630358269</v>
      </c>
      <c r="Z123" s="27">
        <f t="shared" si="33"/>
        <v>-5494.2133227041331</v>
      </c>
      <c r="AA123" s="27">
        <f t="shared" si="33"/>
        <v>-5617.8331224649755</v>
      </c>
      <c r="AB123" s="27">
        <f t="shared" si="33"/>
        <v>-5744.2343677204371</v>
      </c>
      <c r="AC123" s="27">
        <f t="shared" si="33"/>
        <v>-5873.4796409941464</v>
      </c>
      <c r="AD123" s="27">
        <f t="shared" si="33"/>
        <v>-6005.6329329165146</v>
      </c>
      <c r="AE123" s="27">
        <f t="shared" si="33"/>
        <v>-6140.7596739071359</v>
      </c>
      <c r="AF123" s="27"/>
      <c r="AG123" s="27"/>
      <c r="AH123" s="27"/>
      <c r="AI123" s="27"/>
      <c r="AJ123" s="27"/>
      <c r="AK123" s="27"/>
      <c r="AL123" s="64"/>
    </row>
    <row r="124" spans="2:38" x14ac:dyDescent="0.25">
      <c r="B124" s="28" t="s">
        <v>24</v>
      </c>
      <c r="C124" s="4"/>
      <c r="D124" s="4"/>
      <c r="E124" s="4"/>
      <c r="F124" s="5"/>
      <c r="G124" s="5">
        <f>G121*$C$12*(1-$J$15)</f>
        <v>-2016</v>
      </c>
      <c r="H124" s="5">
        <f t="shared" ref="H124:AE124" si="34">H121*$C$12*(1-$J$15)</f>
        <v>-2061.36</v>
      </c>
      <c r="I124" s="5">
        <f t="shared" si="34"/>
        <v>-2107.7406000000001</v>
      </c>
      <c r="J124" s="5">
        <f t="shared" si="34"/>
        <v>-2155.1647634999999</v>
      </c>
      <c r="K124" s="5">
        <f t="shared" si="34"/>
        <v>-2203.6559706787498</v>
      </c>
      <c r="L124" s="5">
        <f t="shared" si="34"/>
        <v>-2253.2382300190216</v>
      </c>
      <c r="M124" s="5">
        <f t="shared" si="34"/>
        <v>-2303.9360901944497</v>
      </c>
      <c r="N124" s="5">
        <f t="shared" si="34"/>
        <v>-2355.7746522238249</v>
      </c>
      <c r="O124" s="5">
        <f t="shared" si="34"/>
        <v>-2408.7795818988611</v>
      </c>
      <c r="P124" s="5">
        <f t="shared" si="34"/>
        <v>-2462.9771224915853</v>
      </c>
      <c r="Q124" s="5">
        <f t="shared" si="34"/>
        <v>-2518.3941077476461</v>
      </c>
      <c r="R124" s="5">
        <f t="shared" si="34"/>
        <v>-2575.0579751719679</v>
      </c>
      <c r="S124" s="5">
        <f t="shared" si="34"/>
        <v>-2632.9967796133369</v>
      </c>
      <c r="T124" s="5">
        <f t="shared" si="34"/>
        <v>-2692.2392071546369</v>
      </c>
      <c r="U124" s="5">
        <f t="shared" si="34"/>
        <v>-2752.8145893156161</v>
      </c>
      <c r="V124" s="5">
        <f t="shared" si="34"/>
        <v>-2814.7529175752175</v>
      </c>
      <c r="W124" s="5">
        <f t="shared" si="34"/>
        <v>-2878.0848582206595</v>
      </c>
      <c r="X124" s="5">
        <f t="shared" si="34"/>
        <v>-2942.8417675306241</v>
      </c>
      <c r="Y124" s="5">
        <f t="shared" si="34"/>
        <v>-3009.0557073000637</v>
      </c>
      <c r="Z124" s="5">
        <f t="shared" si="34"/>
        <v>-3076.7594607143146</v>
      </c>
      <c r="AA124" s="5">
        <f t="shared" si="34"/>
        <v>-3145.9865485803866</v>
      </c>
      <c r="AB124" s="5">
        <f t="shared" si="34"/>
        <v>-3216.7712459234449</v>
      </c>
      <c r="AC124" s="5">
        <f t="shared" si="34"/>
        <v>-3289.1485989567227</v>
      </c>
      <c r="AD124" s="5">
        <f t="shared" si="34"/>
        <v>-3363.1544424332492</v>
      </c>
      <c r="AE124" s="5">
        <f t="shared" si="34"/>
        <v>-3438.8254173879964</v>
      </c>
      <c r="AF124" s="5"/>
      <c r="AG124" s="5"/>
      <c r="AH124" s="5"/>
      <c r="AI124" s="5"/>
      <c r="AJ124" s="5"/>
      <c r="AK124" s="5"/>
      <c r="AL124" s="65"/>
    </row>
    <row r="125" spans="2:38" x14ac:dyDescent="0.25">
      <c r="B125" s="20"/>
      <c r="C125" s="18"/>
      <c r="D125" s="18"/>
      <c r="E125" s="18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18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64"/>
    </row>
    <row r="126" spans="2:38" x14ac:dyDescent="0.25">
      <c r="B126" s="17" t="s">
        <v>23</v>
      </c>
      <c r="C126" s="18"/>
      <c r="D126" s="18"/>
      <c r="E126" s="18"/>
      <c r="F126" s="29"/>
      <c r="G126" s="30">
        <f>-SUM(G120:G124)</f>
        <v>101026.76650780914</v>
      </c>
      <c r="H126" s="30">
        <f t="shared" ref="H126:AE126" si="35">-SUM(H120:H124)</f>
        <v>101729.12650780914</v>
      </c>
      <c r="I126" s="30">
        <f t="shared" si="35"/>
        <v>102447.19960780913</v>
      </c>
      <c r="J126" s="30">
        <f t="shared" si="35"/>
        <v>103181.33755255914</v>
      </c>
      <c r="K126" s="30">
        <f t="shared" si="35"/>
        <v>103931.89996506603</v>
      </c>
      <c r="L126" s="30">
        <f t="shared" si="35"/>
        <v>104699.2545231343</v>
      </c>
      <c r="M126" s="30">
        <f t="shared" si="35"/>
        <v>105483.7771398647</v>
      </c>
      <c r="N126" s="30">
        <f t="shared" si="35"/>
        <v>106285.85214819926</v>
      </c>
      <c r="O126" s="30">
        <f t="shared" si="35"/>
        <v>107105.87248960361</v>
      </c>
      <c r="P126" s="30">
        <f t="shared" si="35"/>
        <v>107944.23990697949</v>
      </c>
      <c r="Q126" s="30">
        <f t="shared" si="35"/>
        <v>108801.36514190202</v>
      </c>
      <c r="R126" s="30">
        <f t="shared" si="35"/>
        <v>109677.66813627914</v>
      </c>
      <c r="S126" s="30">
        <f t="shared" si="35"/>
        <v>110573.57823853193</v>
      </c>
      <c r="T126" s="30">
        <f t="shared" si="35"/>
        <v>111489.53441439765</v>
      </c>
      <c r="U126" s="30">
        <f t="shared" si="35"/>
        <v>112425.98546245885</v>
      </c>
      <c r="V126" s="30">
        <f t="shared" si="35"/>
        <v>113383.39023450468</v>
      </c>
      <c r="W126" s="30">
        <f t="shared" si="35"/>
        <v>114362.21786083287</v>
      </c>
      <c r="X126" s="30">
        <f t="shared" si="35"/>
        <v>115362.947980603</v>
      </c>
      <c r="Y126" s="30">
        <f t="shared" si="35"/>
        <v>116386.07097735451</v>
      </c>
      <c r="Z126" s="30">
        <f t="shared" si="35"/>
        <v>117432.08821980517</v>
      </c>
      <c r="AA126" s="30">
        <f t="shared" si="35"/>
        <v>118501.51230804871</v>
      </c>
      <c r="AB126" s="30">
        <f t="shared" si="35"/>
        <v>119594.86732527219</v>
      </c>
      <c r="AC126" s="30">
        <f t="shared" si="35"/>
        <v>120712.68909511759</v>
      </c>
      <c r="AD126" s="30">
        <f t="shared" si="35"/>
        <v>121855.52544481352</v>
      </c>
      <c r="AE126" s="30">
        <f t="shared" si="35"/>
        <v>123023.93647420726</v>
      </c>
      <c r="AF126" s="30"/>
      <c r="AG126" s="30"/>
      <c r="AH126" s="30"/>
      <c r="AI126" s="30"/>
      <c r="AJ126" s="30"/>
      <c r="AK126" s="30"/>
      <c r="AL126" s="66"/>
    </row>
    <row r="127" spans="2:38" x14ac:dyDescent="0.25">
      <c r="B127" s="20"/>
      <c r="C127" s="18"/>
      <c r="D127" s="18"/>
      <c r="E127" s="18"/>
      <c r="F127" s="18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64"/>
    </row>
    <row r="128" spans="2:38" x14ac:dyDescent="0.25">
      <c r="B128" s="20"/>
      <c r="C128" s="38" t="s">
        <v>20</v>
      </c>
      <c r="D128" s="39"/>
      <c r="E128" s="40">
        <f>G126/F12</f>
        <v>101.02676650780914</v>
      </c>
      <c r="F128" s="18" t="s">
        <v>26</v>
      </c>
      <c r="G128" s="32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9"/>
    </row>
    <row r="129" spans="2:39" x14ac:dyDescent="0.25">
      <c r="B129" s="34"/>
      <c r="C129" s="35"/>
      <c r="D129" s="35"/>
      <c r="E129" s="35"/>
      <c r="F129" s="35"/>
      <c r="G129" s="69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6"/>
    </row>
    <row r="130" spans="2:39" x14ac:dyDescent="0.25"/>
    <row r="131" spans="2:39" x14ac:dyDescent="0.25"/>
    <row r="132" spans="2:39" x14ac:dyDescent="0.25"/>
    <row r="133" spans="2:39" x14ac:dyDescent="0.25">
      <c r="B133" s="76" t="s">
        <v>83</v>
      </c>
      <c r="E133" s="73"/>
      <c r="F133" s="73" t="str">
        <f t="shared" ref="F133:AM133" si="36">F81</f>
        <v>Begin 2016</v>
      </c>
      <c r="G133" s="73">
        <f t="shared" si="36"/>
        <v>2016</v>
      </c>
      <c r="H133" s="73">
        <f t="shared" si="36"/>
        <v>2017</v>
      </c>
      <c r="I133" s="73">
        <f t="shared" si="36"/>
        <v>2018</v>
      </c>
      <c r="J133" s="73">
        <f t="shared" si="36"/>
        <v>2019</v>
      </c>
      <c r="K133" s="73">
        <f t="shared" si="36"/>
        <v>2020</v>
      </c>
      <c r="L133" s="73">
        <f t="shared" si="36"/>
        <v>2021</v>
      </c>
      <c r="M133" s="73">
        <f t="shared" si="36"/>
        <v>2022</v>
      </c>
      <c r="N133" s="73">
        <f t="shared" si="36"/>
        <v>2023</v>
      </c>
      <c r="O133" s="73">
        <f t="shared" si="36"/>
        <v>2024</v>
      </c>
      <c r="P133" s="73">
        <f t="shared" si="36"/>
        <v>2025</v>
      </c>
      <c r="Q133" s="73">
        <f t="shared" si="36"/>
        <v>2026</v>
      </c>
      <c r="R133" s="73">
        <f t="shared" si="36"/>
        <v>2027</v>
      </c>
      <c r="S133" s="73">
        <f t="shared" si="36"/>
        <v>2028</v>
      </c>
      <c r="T133" s="73">
        <f t="shared" si="36"/>
        <v>2029</v>
      </c>
      <c r="U133" s="73">
        <f t="shared" si="36"/>
        <v>2030</v>
      </c>
      <c r="V133" s="73">
        <f t="shared" si="36"/>
        <v>2031</v>
      </c>
      <c r="W133" s="73">
        <f t="shared" si="36"/>
        <v>2032</v>
      </c>
      <c r="X133" s="73">
        <f t="shared" si="36"/>
        <v>2033</v>
      </c>
      <c r="Y133" s="73">
        <f t="shared" si="36"/>
        <v>2034</v>
      </c>
      <c r="Z133" s="73">
        <f t="shared" si="36"/>
        <v>2035</v>
      </c>
      <c r="AA133" s="73">
        <f t="shared" si="36"/>
        <v>2036</v>
      </c>
      <c r="AB133" s="73">
        <f t="shared" si="36"/>
        <v>2037</v>
      </c>
      <c r="AC133" s="73">
        <f t="shared" si="36"/>
        <v>2038</v>
      </c>
      <c r="AD133" s="73">
        <f t="shared" si="36"/>
        <v>2039</v>
      </c>
      <c r="AE133" s="73">
        <f t="shared" si="36"/>
        <v>2040</v>
      </c>
      <c r="AF133" s="73">
        <f t="shared" si="36"/>
        <v>2041</v>
      </c>
      <c r="AG133" s="73">
        <f t="shared" si="36"/>
        <v>2042</v>
      </c>
      <c r="AH133" s="73">
        <f t="shared" si="36"/>
        <v>2043</v>
      </c>
      <c r="AI133" s="73">
        <f t="shared" si="36"/>
        <v>2044</v>
      </c>
      <c r="AJ133" s="73">
        <f t="shared" si="36"/>
        <v>2045</v>
      </c>
      <c r="AK133" s="73">
        <f t="shared" si="36"/>
        <v>2046</v>
      </c>
      <c r="AL133" s="73">
        <f t="shared" si="36"/>
        <v>2047</v>
      </c>
      <c r="AM133" s="73">
        <f t="shared" si="36"/>
        <v>0</v>
      </c>
    </row>
    <row r="134" spans="2:39" x14ac:dyDescent="0.25"/>
    <row r="135" spans="2:39" x14ac:dyDescent="0.25">
      <c r="B135" s="76" t="s">
        <v>62</v>
      </c>
      <c r="C135" s="76" t="str">
        <f>B22</f>
        <v>DCF WOZ looptijd 10 jaar</v>
      </c>
    </row>
    <row r="136" spans="2:39" s="73" customFormat="1" x14ac:dyDescent="0.25">
      <c r="B136" s="72" t="s">
        <v>60</v>
      </c>
      <c r="C136" s="72"/>
      <c r="E136" s="72"/>
      <c r="F136" s="74">
        <v>0</v>
      </c>
      <c r="G136" s="74">
        <f>F146</f>
        <v>-1500000</v>
      </c>
      <c r="H136" s="74">
        <f>G146</f>
        <v>-1481852.2642673841</v>
      </c>
      <c r="I136" s="74">
        <f t="shared" ref="I136:AM136" si="37">H146</f>
        <v>-1461489.7043908113</v>
      </c>
      <c r="J136" s="74">
        <f t="shared" si="37"/>
        <v>-1438795.6150102301</v>
      </c>
      <c r="K136" s="74">
        <f t="shared" si="37"/>
        <v>-1413648.0977860515</v>
      </c>
      <c r="L136" s="74">
        <f t="shared" si="37"/>
        <v>-1385919.8440280256</v>
      </c>
      <c r="M136" s="74">
        <f t="shared" si="37"/>
        <v>-1355477.9084552126</v>
      </c>
      <c r="N136" s="74">
        <f t="shared" si="37"/>
        <v>-1322183.4737292323</v>
      </c>
      <c r="O136" s="74">
        <f t="shared" si="37"/>
        <v>-1285891.6053886225</v>
      </c>
      <c r="P136" s="74">
        <f t="shared" si="37"/>
        <v>-1246450.9967971893</v>
      </c>
      <c r="Q136" s="74">
        <f t="shared" si="37"/>
        <v>4.3874024413526058E-9</v>
      </c>
      <c r="R136" s="74">
        <f t="shared" si="37"/>
        <v>4.5628985390067101E-9</v>
      </c>
      <c r="S136" s="74">
        <f t="shared" si="37"/>
        <v>4.7454144805669783E-9</v>
      </c>
      <c r="T136" s="74">
        <f t="shared" si="37"/>
        <v>4.9352310597896578E-9</v>
      </c>
      <c r="U136" s="74">
        <f t="shared" si="37"/>
        <v>5.1326403021812437E-9</v>
      </c>
      <c r="V136" s="74">
        <f t="shared" si="37"/>
        <v>5.3379459142684938E-9</v>
      </c>
      <c r="W136" s="74">
        <f t="shared" si="37"/>
        <v>5.5514637508392336E-9</v>
      </c>
      <c r="X136" s="74">
        <f t="shared" si="37"/>
        <v>5.773522300872803E-9</v>
      </c>
      <c r="Y136" s="74">
        <f t="shared" si="37"/>
        <v>6.0044631929077153E-9</v>
      </c>
      <c r="Z136" s="74">
        <f t="shared" si="37"/>
        <v>6.2446417206240237E-9</v>
      </c>
      <c r="AA136" s="74">
        <f t="shared" si="37"/>
        <v>6.4944273894489844E-9</v>
      </c>
      <c r="AB136" s="74">
        <f t="shared" si="37"/>
        <v>6.7542044850269435E-9</v>
      </c>
      <c r="AC136" s="74">
        <f t="shared" si="37"/>
        <v>7.0243726644280211E-9</v>
      </c>
      <c r="AD136" s="74">
        <f t="shared" si="37"/>
        <v>7.3053475710051423E-9</v>
      </c>
      <c r="AE136" s="74">
        <f t="shared" si="37"/>
        <v>7.5975614738453485E-9</v>
      </c>
      <c r="AF136" s="74">
        <f t="shared" si="37"/>
        <v>7.9014639327991619E-9</v>
      </c>
      <c r="AG136" s="74">
        <f t="shared" si="37"/>
        <v>8.2175224901111281E-9</v>
      </c>
      <c r="AH136" s="74">
        <f t="shared" si="37"/>
        <v>8.5462233897155734E-9</v>
      </c>
      <c r="AI136" s="74">
        <f t="shared" si="37"/>
        <v>8.8880723253041959E-9</v>
      </c>
      <c r="AJ136" s="74">
        <f t="shared" si="37"/>
        <v>9.2435952183163645E-9</v>
      </c>
      <c r="AK136" s="74">
        <f t="shared" si="37"/>
        <v>9.6133390270490198E-9</v>
      </c>
      <c r="AL136" s="74">
        <f t="shared" si="37"/>
        <v>9.9978725881309809E-9</v>
      </c>
      <c r="AM136" s="74">
        <f t="shared" si="37"/>
        <v>1.0397787491656221E-8</v>
      </c>
    </row>
    <row r="137" spans="2:39" s="73" customFormat="1" x14ac:dyDescent="0.25">
      <c r="B137" s="72" t="s">
        <v>59</v>
      </c>
      <c r="C137" s="72"/>
      <c r="E137" s="72"/>
      <c r="F137" s="74">
        <v>0</v>
      </c>
      <c r="G137" s="74">
        <f t="shared" ref="G137:AM137" si="38">G45+G41</f>
        <v>78147.735732615998</v>
      </c>
      <c r="H137" s="74">
        <f t="shared" si="38"/>
        <v>79636.650447268315</v>
      </c>
      <c r="I137" s="74">
        <f t="shared" si="38"/>
        <v>81153.67755621369</v>
      </c>
      <c r="J137" s="74">
        <f t="shared" si="38"/>
        <v>82699.341824587958</v>
      </c>
      <c r="K137" s="74">
        <f t="shared" si="38"/>
        <v>84274.177669467841</v>
      </c>
      <c r="L137" s="74">
        <f t="shared" si="38"/>
        <v>85878.729333934054</v>
      </c>
      <c r="M137" s="74">
        <f t="shared" si="38"/>
        <v>87513.551064188825</v>
      </c>
      <c r="N137" s="74">
        <f t="shared" si="38"/>
        <v>89179.207289779166</v>
      </c>
      <c r="O137" s="74">
        <f t="shared" si="38"/>
        <v>90876.272806978202</v>
      </c>
      <c r="P137" s="74">
        <f t="shared" si="38"/>
        <v>1296309.0366690813</v>
      </c>
      <c r="Q137" s="74">
        <f t="shared" si="38"/>
        <v>0</v>
      </c>
      <c r="R137" s="74">
        <f t="shared" si="38"/>
        <v>0</v>
      </c>
      <c r="S137" s="74">
        <f t="shared" si="38"/>
        <v>0</v>
      </c>
      <c r="T137" s="74">
        <f t="shared" si="38"/>
        <v>0</v>
      </c>
      <c r="U137" s="74">
        <f t="shared" si="38"/>
        <v>0</v>
      </c>
      <c r="V137" s="74">
        <f t="shared" si="38"/>
        <v>0</v>
      </c>
      <c r="W137" s="74">
        <f t="shared" si="38"/>
        <v>0</v>
      </c>
      <c r="X137" s="74">
        <f t="shared" si="38"/>
        <v>0</v>
      </c>
      <c r="Y137" s="74">
        <f t="shared" si="38"/>
        <v>0</v>
      </c>
      <c r="Z137" s="74">
        <f t="shared" si="38"/>
        <v>0</v>
      </c>
      <c r="AA137" s="74">
        <f t="shared" si="38"/>
        <v>0</v>
      </c>
      <c r="AB137" s="74">
        <f t="shared" si="38"/>
        <v>0</v>
      </c>
      <c r="AC137" s="74">
        <f t="shared" si="38"/>
        <v>0</v>
      </c>
      <c r="AD137" s="74">
        <f t="shared" si="38"/>
        <v>0</v>
      </c>
      <c r="AE137" s="74">
        <f t="shared" si="38"/>
        <v>0</v>
      </c>
      <c r="AF137" s="74">
        <f t="shared" si="38"/>
        <v>0</v>
      </c>
      <c r="AG137" s="74">
        <f t="shared" si="38"/>
        <v>0</v>
      </c>
      <c r="AH137" s="74">
        <f t="shared" si="38"/>
        <v>0</v>
      </c>
      <c r="AI137" s="74">
        <f t="shared" si="38"/>
        <v>0</v>
      </c>
      <c r="AJ137" s="74">
        <f t="shared" si="38"/>
        <v>0</v>
      </c>
      <c r="AK137" s="74">
        <f t="shared" si="38"/>
        <v>0</v>
      </c>
      <c r="AL137" s="74">
        <f t="shared" si="38"/>
        <v>0</v>
      </c>
      <c r="AM137" s="74">
        <f t="shared" si="38"/>
        <v>0</v>
      </c>
    </row>
    <row r="138" spans="2:39" s="73" customFormat="1" x14ac:dyDescent="0.25">
      <c r="B138" s="72" t="str">
        <f>B33</f>
        <v>Aanvangswaarde</v>
      </c>
      <c r="C138" s="72"/>
      <c r="E138" s="72"/>
      <c r="F138" s="74">
        <f t="shared" ref="F138:AM138" si="39">F33</f>
        <v>-1500000</v>
      </c>
      <c r="G138" s="74">
        <f t="shared" si="39"/>
        <v>0</v>
      </c>
      <c r="H138" s="74">
        <f t="shared" si="39"/>
        <v>0</v>
      </c>
      <c r="I138" s="74">
        <f t="shared" si="39"/>
        <v>0</v>
      </c>
      <c r="J138" s="74">
        <f t="shared" si="39"/>
        <v>0</v>
      </c>
      <c r="K138" s="74">
        <f t="shared" si="39"/>
        <v>0</v>
      </c>
      <c r="L138" s="74">
        <f t="shared" si="39"/>
        <v>0</v>
      </c>
      <c r="M138" s="74">
        <f t="shared" si="39"/>
        <v>0</v>
      </c>
      <c r="N138" s="74">
        <f t="shared" si="39"/>
        <v>0</v>
      </c>
      <c r="O138" s="74">
        <f t="shared" si="39"/>
        <v>0</v>
      </c>
      <c r="P138" s="74">
        <f t="shared" si="39"/>
        <v>0</v>
      </c>
      <c r="Q138" s="74">
        <f t="shared" si="39"/>
        <v>0</v>
      </c>
      <c r="R138" s="74">
        <f t="shared" si="39"/>
        <v>0</v>
      </c>
      <c r="S138" s="74">
        <f t="shared" si="39"/>
        <v>0</v>
      </c>
      <c r="T138" s="74">
        <f t="shared" si="39"/>
        <v>0</v>
      </c>
      <c r="U138" s="74">
        <f t="shared" si="39"/>
        <v>0</v>
      </c>
      <c r="V138" s="74">
        <f t="shared" si="39"/>
        <v>0</v>
      </c>
      <c r="W138" s="74">
        <f t="shared" si="39"/>
        <v>0</v>
      </c>
      <c r="X138" s="74">
        <f t="shared" si="39"/>
        <v>0</v>
      </c>
      <c r="Y138" s="74">
        <f t="shared" si="39"/>
        <v>0</v>
      </c>
      <c r="Z138" s="74">
        <f t="shared" si="39"/>
        <v>0</v>
      </c>
      <c r="AA138" s="74">
        <f t="shared" si="39"/>
        <v>0</v>
      </c>
      <c r="AB138" s="74">
        <f t="shared" si="39"/>
        <v>0</v>
      </c>
      <c r="AC138" s="74">
        <f t="shared" si="39"/>
        <v>0</v>
      </c>
      <c r="AD138" s="74">
        <f t="shared" si="39"/>
        <v>0</v>
      </c>
      <c r="AE138" s="74">
        <f t="shared" si="39"/>
        <v>0</v>
      </c>
      <c r="AF138" s="74">
        <f t="shared" si="39"/>
        <v>0</v>
      </c>
      <c r="AG138" s="74">
        <f t="shared" si="39"/>
        <v>0</v>
      </c>
      <c r="AH138" s="74">
        <f t="shared" si="39"/>
        <v>0</v>
      </c>
      <c r="AI138" s="74">
        <f t="shared" si="39"/>
        <v>0</v>
      </c>
      <c r="AJ138" s="74">
        <f t="shared" si="39"/>
        <v>0</v>
      </c>
      <c r="AK138" s="74">
        <f t="shared" si="39"/>
        <v>0</v>
      </c>
      <c r="AL138" s="74">
        <f t="shared" si="39"/>
        <v>0</v>
      </c>
      <c r="AM138" s="74">
        <f t="shared" si="39"/>
        <v>0</v>
      </c>
    </row>
    <row r="139" spans="2:39" s="73" customFormat="1" x14ac:dyDescent="0.25">
      <c r="B139" s="72" t="str">
        <f>B34</f>
        <v>Onderhoud</v>
      </c>
      <c r="C139" s="72"/>
      <c r="E139" s="72"/>
      <c r="F139" s="74">
        <f t="shared" ref="F139:AM139" si="40">F63</f>
        <v>0</v>
      </c>
      <c r="G139" s="74">
        <f t="shared" si="40"/>
        <v>-24000</v>
      </c>
      <c r="H139" s="74">
        <f t="shared" si="40"/>
        <v>-24540</v>
      </c>
      <c r="I139" s="74">
        <f t="shared" si="40"/>
        <v>-25092.149999999998</v>
      </c>
      <c r="J139" s="74">
        <f t="shared" si="40"/>
        <v>-25656.723374999998</v>
      </c>
      <c r="K139" s="74">
        <f t="shared" si="40"/>
        <v>-26233.999650937498</v>
      </c>
      <c r="L139" s="74">
        <f t="shared" si="40"/>
        <v>-26824.264643083592</v>
      </c>
      <c r="M139" s="74">
        <f t="shared" si="40"/>
        <v>-27427.810597552972</v>
      </c>
      <c r="N139" s="74">
        <f t="shared" si="40"/>
        <v>-28044.936335997914</v>
      </c>
      <c r="O139" s="74">
        <f t="shared" si="40"/>
        <v>-28675.947403557868</v>
      </c>
      <c r="P139" s="74">
        <f t="shared" si="40"/>
        <v>-29321.15622013792</v>
      </c>
      <c r="Q139" s="74">
        <f t="shared" si="40"/>
        <v>-29980.882235091023</v>
      </c>
      <c r="R139" s="74">
        <f t="shared" si="40"/>
        <v>-30655.45208538057</v>
      </c>
      <c r="S139" s="74">
        <f t="shared" si="40"/>
        <v>-31345.199757301631</v>
      </c>
      <c r="T139" s="74">
        <f t="shared" si="40"/>
        <v>-32050.466751840915</v>
      </c>
      <c r="U139" s="74">
        <f t="shared" si="40"/>
        <v>-32771.602253757337</v>
      </c>
      <c r="V139" s="74">
        <f t="shared" si="40"/>
        <v>-33508.963304466874</v>
      </c>
      <c r="W139" s="74">
        <f t="shared" si="40"/>
        <v>-34262.914978817375</v>
      </c>
      <c r="X139" s="74">
        <f t="shared" si="40"/>
        <v>-35033.830565840763</v>
      </c>
      <c r="Y139" s="74">
        <f t="shared" si="40"/>
        <v>-35822.091753572182</v>
      </c>
      <c r="Z139" s="74">
        <f t="shared" si="40"/>
        <v>-36628.088818027558</v>
      </c>
      <c r="AA139" s="74">
        <f t="shared" si="40"/>
        <v>-37452.220816433175</v>
      </c>
      <c r="AB139" s="74">
        <f t="shared" si="40"/>
        <v>-38294.895784802917</v>
      </c>
      <c r="AC139" s="74">
        <f t="shared" si="40"/>
        <v>-39156.530939960983</v>
      </c>
      <c r="AD139" s="74">
        <f t="shared" si="40"/>
        <v>-40037.552886110105</v>
      </c>
      <c r="AE139" s="74">
        <f t="shared" si="40"/>
        <v>-40938.397826047578</v>
      </c>
      <c r="AF139" s="74">
        <f t="shared" si="40"/>
        <v>-41859.511777133645</v>
      </c>
      <c r="AG139" s="74">
        <f t="shared" si="40"/>
        <v>-42801.350792119149</v>
      </c>
      <c r="AH139" s="74">
        <f t="shared" si="40"/>
        <v>-43764.381184941827</v>
      </c>
      <c r="AI139" s="74">
        <f t="shared" si="40"/>
        <v>-44749.079761603018</v>
      </c>
      <c r="AJ139" s="74">
        <f t="shared" si="40"/>
        <v>-45755.934056239086</v>
      </c>
      <c r="AK139" s="74">
        <f t="shared" si="40"/>
        <v>0</v>
      </c>
      <c r="AL139" s="74">
        <f t="shared" si="40"/>
        <v>0</v>
      </c>
      <c r="AM139" s="74">
        <f t="shared" si="40"/>
        <v>0</v>
      </c>
    </row>
    <row r="140" spans="2:39" s="73" customFormat="1" x14ac:dyDescent="0.25">
      <c r="B140" s="72" t="str">
        <f>B35</f>
        <v>Beheerlasten</v>
      </c>
      <c r="C140" s="72"/>
      <c r="E140" s="72"/>
      <c r="F140" s="74">
        <f t="shared" ref="F140:AM140" si="41">F64</f>
        <v>0</v>
      </c>
      <c r="G140" s="74">
        <f t="shared" si="41"/>
        <v>-1800</v>
      </c>
      <c r="H140" s="74">
        <f t="shared" si="41"/>
        <v>-1836</v>
      </c>
      <c r="I140" s="74">
        <f t="shared" si="41"/>
        <v>-1872.72</v>
      </c>
      <c r="J140" s="74">
        <f t="shared" si="41"/>
        <v>-1910.1744000000001</v>
      </c>
      <c r="K140" s="74">
        <f t="shared" si="41"/>
        <v>-1948.3778880000002</v>
      </c>
      <c r="L140" s="74">
        <f t="shared" si="41"/>
        <v>-1987.3454457600003</v>
      </c>
      <c r="M140" s="74">
        <f t="shared" si="41"/>
        <v>-2027.0923546752003</v>
      </c>
      <c r="N140" s="74">
        <f t="shared" si="41"/>
        <v>-2067.6342017687043</v>
      </c>
      <c r="O140" s="74">
        <f t="shared" si="41"/>
        <v>-2108.9868858040786</v>
      </c>
      <c r="P140" s="74">
        <f t="shared" si="41"/>
        <v>-2151.1666235201601</v>
      </c>
      <c r="Q140" s="74">
        <f t="shared" si="41"/>
        <v>-2194.1899559905632</v>
      </c>
      <c r="R140" s="74">
        <f t="shared" si="41"/>
        <v>-2238.0737551103743</v>
      </c>
      <c r="S140" s="74">
        <f t="shared" si="41"/>
        <v>-2282.8352302125818</v>
      </c>
      <c r="T140" s="74">
        <f t="shared" si="41"/>
        <v>-2328.4919348168337</v>
      </c>
      <c r="U140" s="74">
        <f t="shared" si="41"/>
        <v>-2375.0617735131705</v>
      </c>
      <c r="V140" s="74">
        <f t="shared" si="41"/>
        <v>-2422.563008983434</v>
      </c>
      <c r="W140" s="74">
        <f t="shared" si="41"/>
        <v>-2471.0142691631027</v>
      </c>
      <c r="X140" s="74">
        <f t="shared" si="41"/>
        <v>-2520.4345545463648</v>
      </c>
      <c r="Y140" s="74">
        <f t="shared" si="41"/>
        <v>-2570.8432456372921</v>
      </c>
      <c r="Z140" s="74">
        <f t="shared" si="41"/>
        <v>-2622.260110550038</v>
      </c>
      <c r="AA140" s="74">
        <f t="shared" si="41"/>
        <v>-2674.7053127610388</v>
      </c>
      <c r="AB140" s="74">
        <f t="shared" si="41"/>
        <v>-2728.1994190162595</v>
      </c>
      <c r="AC140" s="74">
        <f t="shared" si="41"/>
        <v>-2782.7634073965846</v>
      </c>
      <c r="AD140" s="74">
        <f t="shared" si="41"/>
        <v>-2838.4186755445162</v>
      </c>
      <c r="AE140" s="74">
        <f t="shared" si="41"/>
        <v>-2895.1870490554065</v>
      </c>
      <c r="AF140" s="74">
        <f t="shared" si="41"/>
        <v>-2953.0907900365146</v>
      </c>
      <c r="AG140" s="74">
        <f t="shared" si="41"/>
        <v>-3012.1526058372451</v>
      </c>
      <c r="AH140" s="74">
        <f t="shared" si="41"/>
        <v>-3072.3956579539899</v>
      </c>
      <c r="AI140" s="74">
        <f t="shared" si="41"/>
        <v>-3133.8435711130696</v>
      </c>
      <c r="AJ140" s="74">
        <f t="shared" si="41"/>
        <v>-3196.5204425353309</v>
      </c>
      <c r="AK140" s="74">
        <f t="shared" si="41"/>
        <v>0</v>
      </c>
      <c r="AL140" s="74">
        <f t="shared" si="41"/>
        <v>0</v>
      </c>
      <c r="AM140" s="74">
        <f t="shared" si="41"/>
        <v>0</v>
      </c>
    </row>
    <row r="141" spans="2:39" s="73" customFormat="1" x14ac:dyDescent="0.25">
      <c r="B141" s="72" t="str">
        <f>B36</f>
        <v>Vaste lasten</v>
      </c>
      <c r="C141" s="72"/>
      <c r="E141" s="72"/>
      <c r="F141" s="74">
        <f t="shared" ref="F141:AM141" si="42">F65</f>
        <v>0</v>
      </c>
      <c r="G141" s="74">
        <f t="shared" si="42"/>
        <v>-3600</v>
      </c>
      <c r="H141" s="74">
        <f t="shared" si="42"/>
        <v>-3681</v>
      </c>
      <c r="I141" s="74">
        <f t="shared" si="42"/>
        <v>-3763.8224999999998</v>
      </c>
      <c r="J141" s="74">
        <f t="shared" si="42"/>
        <v>-3848.5085062499998</v>
      </c>
      <c r="K141" s="74">
        <f t="shared" si="42"/>
        <v>-3935.0999476406246</v>
      </c>
      <c r="L141" s="74">
        <f t="shared" si="42"/>
        <v>-4023.6396964625383</v>
      </c>
      <c r="M141" s="74">
        <f t="shared" si="42"/>
        <v>-4114.1715896329451</v>
      </c>
      <c r="N141" s="74">
        <f t="shared" si="42"/>
        <v>-4206.7404503996859</v>
      </c>
      <c r="O141" s="74">
        <f t="shared" si="42"/>
        <v>-4301.3921105336785</v>
      </c>
      <c r="P141" s="74">
        <f t="shared" si="42"/>
        <v>-4398.1734330206864</v>
      </c>
      <c r="Q141" s="74">
        <f t="shared" si="42"/>
        <v>-4497.1323352636518</v>
      </c>
      <c r="R141" s="74">
        <f t="shared" si="42"/>
        <v>-4598.317812807084</v>
      </c>
      <c r="S141" s="74">
        <f t="shared" si="42"/>
        <v>-4701.7799635952433</v>
      </c>
      <c r="T141" s="74">
        <f t="shared" si="42"/>
        <v>-4807.5700127761365</v>
      </c>
      <c r="U141" s="74">
        <f t="shared" si="42"/>
        <v>-4915.7403380635997</v>
      </c>
      <c r="V141" s="74">
        <f t="shared" si="42"/>
        <v>-5026.3444956700305</v>
      </c>
      <c r="W141" s="74">
        <f t="shared" si="42"/>
        <v>-5139.4372468226056</v>
      </c>
      <c r="X141" s="74">
        <f t="shared" si="42"/>
        <v>-5255.0745848761144</v>
      </c>
      <c r="Y141" s="74">
        <f t="shared" si="42"/>
        <v>-5373.3137630358269</v>
      </c>
      <c r="Z141" s="74">
        <f t="shared" si="42"/>
        <v>-5494.2133227041331</v>
      </c>
      <c r="AA141" s="74">
        <f t="shared" si="42"/>
        <v>-5617.8331224649755</v>
      </c>
      <c r="AB141" s="74">
        <f t="shared" si="42"/>
        <v>-5744.2343677204371</v>
      </c>
      <c r="AC141" s="74">
        <f t="shared" si="42"/>
        <v>-5873.4796409941464</v>
      </c>
      <c r="AD141" s="74">
        <f t="shared" si="42"/>
        <v>-6005.6329329165146</v>
      </c>
      <c r="AE141" s="74">
        <f t="shared" si="42"/>
        <v>-6140.7596739071359</v>
      </c>
      <c r="AF141" s="74">
        <f t="shared" si="42"/>
        <v>-6278.9267665700463</v>
      </c>
      <c r="AG141" s="74">
        <f t="shared" si="42"/>
        <v>-6420.2026188178725</v>
      </c>
      <c r="AH141" s="74">
        <f t="shared" si="42"/>
        <v>-6564.6571777412746</v>
      </c>
      <c r="AI141" s="74">
        <f t="shared" si="42"/>
        <v>-6712.3619642404528</v>
      </c>
      <c r="AJ141" s="74">
        <f t="shared" si="42"/>
        <v>-6863.3901084358631</v>
      </c>
      <c r="AK141" s="74">
        <f t="shared" si="42"/>
        <v>0</v>
      </c>
      <c r="AL141" s="74">
        <f t="shared" si="42"/>
        <v>0</v>
      </c>
      <c r="AM141" s="74">
        <f t="shared" si="42"/>
        <v>0</v>
      </c>
    </row>
    <row r="142" spans="2:39" s="73" customFormat="1" x14ac:dyDescent="0.25">
      <c r="B142" s="72" t="str">
        <f>B37</f>
        <v>BTW-schade onderhoud</v>
      </c>
      <c r="C142" s="72"/>
      <c r="E142" s="72"/>
      <c r="F142" s="74">
        <f t="shared" ref="F142:AM142" si="43">F66</f>
        <v>0</v>
      </c>
      <c r="G142" s="74">
        <f t="shared" si="43"/>
        <v>-2016</v>
      </c>
      <c r="H142" s="74">
        <f t="shared" si="43"/>
        <v>-2061.36</v>
      </c>
      <c r="I142" s="74">
        <f t="shared" si="43"/>
        <v>-2107.7406000000001</v>
      </c>
      <c r="J142" s="74">
        <f t="shared" si="43"/>
        <v>-2155.1647634999999</v>
      </c>
      <c r="K142" s="74">
        <f t="shared" si="43"/>
        <v>-2203.6559706787498</v>
      </c>
      <c r="L142" s="74">
        <f t="shared" si="43"/>
        <v>-2253.2382300190216</v>
      </c>
      <c r="M142" s="74">
        <f t="shared" si="43"/>
        <v>-2303.9360901944497</v>
      </c>
      <c r="N142" s="74">
        <f t="shared" si="43"/>
        <v>-2355.7746522238249</v>
      </c>
      <c r="O142" s="74">
        <f t="shared" si="43"/>
        <v>-2408.7795818988611</v>
      </c>
      <c r="P142" s="74">
        <f t="shared" si="43"/>
        <v>-2462.9771224915853</v>
      </c>
      <c r="Q142" s="74">
        <f t="shared" si="43"/>
        <v>-2518.3941077476461</v>
      </c>
      <c r="R142" s="74">
        <f t="shared" si="43"/>
        <v>-2575.0579751719679</v>
      </c>
      <c r="S142" s="74">
        <f t="shared" si="43"/>
        <v>-2632.9967796133369</v>
      </c>
      <c r="T142" s="74">
        <f t="shared" si="43"/>
        <v>-2692.2392071546369</v>
      </c>
      <c r="U142" s="74">
        <f t="shared" si="43"/>
        <v>-2752.8145893156161</v>
      </c>
      <c r="V142" s="74">
        <f t="shared" si="43"/>
        <v>-2814.7529175752175</v>
      </c>
      <c r="W142" s="74">
        <f t="shared" si="43"/>
        <v>-2878.0848582206595</v>
      </c>
      <c r="X142" s="74">
        <f t="shared" si="43"/>
        <v>-2942.8417675306241</v>
      </c>
      <c r="Y142" s="74">
        <f t="shared" si="43"/>
        <v>-3009.0557073000637</v>
      </c>
      <c r="Z142" s="74">
        <f t="shared" si="43"/>
        <v>-3076.7594607143146</v>
      </c>
      <c r="AA142" s="74">
        <f t="shared" si="43"/>
        <v>-3145.9865485803866</v>
      </c>
      <c r="AB142" s="74">
        <f t="shared" si="43"/>
        <v>-3216.7712459234449</v>
      </c>
      <c r="AC142" s="74">
        <f t="shared" si="43"/>
        <v>-3289.1485989567227</v>
      </c>
      <c r="AD142" s="74">
        <f t="shared" si="43"/>
        <v>-3363.1544424332492</v>
      </c>
      <c r="AE142" s="74">
        <f t="shared" si="43"/>
        <v>-3438.8254173879964</v>
      </c>
      <c r="AF142" s="74">
        <f t="shared" si="43"/>
        <v>-3516.1989892792262</v>
      </c>
      <c r="AG142" s="74">
        <f t="shared" si="43"/>
        <v>-3595.3134665380089</v>
      </c>
      <c r="AH142" s="74">
        <f t="shared" si="43"/>
        <v>-3676.2080195351136</v>
      </c>
      <c r="AI142" s="74">
        <f t="shared" si="43"/>
        <v>-3758.9226999746534</v>
      </c>
      <c r="AJ142" s="74">
        <f t="shared" si="43"/>
        <v>-3843.4984607240835</v>
      </c>
      <c r="AK142" s="74">
        <f t="shared" si="43"/>
        <v>0</v>
      </c>
      <c r="AL142" s="74">
        <f t="shared" si="43"/>
        <v>0</v>
      </c>
      <c r="AM142" s="74">
        <f t="shared" si="43"/>
        <v>0</v>
      </c>
    </row>
    <row r="143" spans="2:39" s="73" customFormat="1" x14ac:dyDescent="0.25">
      <c r="B143" s="72" t="str">
        <f>B40</f>
        <v>Restwaarde (niet geïndexeerd)</v>
      </c>
      <c r="C143" s="72"/>
      <c r="E143" s="72"/>
      <c r="F143" s="74">
        <f t="shared" ref="F143:AM143" si="44">F40</f>
        <v>0</v>
      </c>
      <c r="G143" s="74">
        <f t="shared" si="44"/>
        <v>0</v>
      </c>
      <c r="H143" s="74">
        <f t="shared" si="44"/>
        <v>0</v>
      </c>
      <c r="I143" s="74">
        <f t="shared" si="44"/>
        <v>0</v>
      </c>
      <c r="J143" s="74">
        <f t="shared" si="44"/>
        <v>0</v>
      </c>
      <c r="K143" s="74">
        <f t="shared" si="44"/>
        <v>0</v>
      </c>
      <c r="L143" s="74">
        <f t="shared" si="44"/>
        <v>0</v>
      </c>
      <c r="M143" s="74">
        <f t="shared" si="44"/>
        <v>0</v>
      </c>
      <c r="N143" s="74">
        <f t="shared" si="44"/>
        <v>0</v>
      </c>
      <c r="O143" s="74">
        <f t="shared" si="44"/>
        <v>0</v>
      </c>
      <c r="P143" s="74">
        <f t="shared" si="44"/>
        <v>1203703.7037037036</v>
      </c>
      <c r="Q143" s="74">
        <f t="shared" si="44"/>
        <v>0</v>
      </c>
      <c r="R143" s="74">
        <f t="shared" si="44"/>
        <v>0</v>
      </c>
      <c r="S143" s="74">
        <f t="shared" si="44"/>
        <v>0</v>
      </c>
      <c r="T143" s="74">
        <f t="shared" si="44"/>
        <v>0</v>
      </c>
      <c r="U143" s="74">
        <f t="shared" si="44"/>
        <v>0</v>
      </c>
      <c r="V143" s="74">
        <f t="shared" si="44"/>
        <v>0</v>
      </c>
      <c r="W143" s="74">
        <f t="shared" si="44"/>
        <v>0</v>
      </c>
      <c r="X143" s="74">
        <f t="shared" si="44"/>
        <v>0</v>
      </c>
      <c r="Y143" s="74">
        <f t="shared" si="44"/>
        <v>0</v>
      </c>
      <c r="Z143" s="74">
        <f t="shared" si="44"/>
        <v>0</v>
      </c>
      <c r="AA143" s="74">
        <f t="shared" si="44"/>
        <v>0</v>
      </c>
      <c r="AB143" s="74">
        <f t="shared" si="44"/>
        <v>0</v>
      </c>
      <c r="AC143" s="74">
        <f t="shared" si="44"/>
        <v>0</v>
      </c>
      <c r="AD143" s="74">
        <f t="shared" si="44"/>
        <v>0</v>
      </c>
      <c r="AE143" s="74">
        <f t="shared" si="44"/>
        <v>0</v>
      </c>
      <c r="AF143" s="74">
        <f t="shared" si="44"/>
        <v>0</v>
      </c>
      <c r="AG143" s="74">
        <f t="shared" si="44"/>
        <v>0</v>
      </c>
      <c r="AH143" s="74">
        <f t="shared" si="44"/>
        <v>0</v>
      </c>
      <c r="AI143" s="74">
        <f t="shared" si="44"/>
        <v>0</v>
      </c>
      <c r="AJ143" s="74">
        <f t="shared" si="44"/>
        <v>0</v>
      </c>
      <c r="AK143" s="74">
        <f t="shared" si="44"/>
        <v>0</v>
      </c>
      <c r="AL143" s="74">
        <f t="shared" si="44"/>
        <v>0</v>
      </c>
      <c r="AM143" s="74">
        <f t="shared" si="44"/>
        <v>0</v>
      </c>
    </row>
    <row r="144" spans="2:39" s="73" customFormat="1" x14ac:dyDescent="0.25">
      <c r="B144" s="72" t="str">
        <f>B75</f>
        <v>Huur</v>
      </c>
      <c r="C144" s="72"/>
      <c r="E144" s="72"/>
      <c r="F144" s="74">
        <f t="shared" ref="F144:AM144" si="45">F45</f>
        <v>0</v>
      </c>
      <c r="G144" s="74">
        <f t="shared" si="45"/>
        <v>109563.735732616</v>
      </c>
      <c r="H144" s="74">
        <f t="shared" si="45"/>
        <v>111755.01044726832</v>
      </c>
      <c r="I144" s="74">
        <f t="shared" si="45"/>
        <v>113990.11065621368</v>
      </c>
      <c r="J144" s="74">
        <f t="shared" si="45"/>
        <v>116269.91286933796</v>
      </c>
      <c r="K144" s="74">
        <f t="shared" si="45"/>
        <v>118595.31112672471</v>
      </c>
      <c r="L144" s="74">
        <f t="shared" si="45"/>
        <v>120967.21734925921</v>
      </c>
      <c r="M144" s="74">
        <f t="shared" si="45"/>
        <v>123386.5616962444</v>
      </c>
      <c r="N144" s="74">
        <f t="shared" si="45"/>
        <v>125854.29293016929</v>
      </c>
      <c r="O144" s="74">
        <f t="shared" si="45"/>
        <v>128371.37878877268</v>
      </c>
      <c r="P144" s="74">
        <f t="shared" si="45"/>
        <v>130938.80636454813</v>
      </c>
      <c r="Q144" s="74">
        <f t="shared" si="45"/>
        <v>0</v>
      </c>
      <c r="R144" s="74">
        <f t="shared" si="45"/>
        <v>0</v>
      </c>
      <c r="S144" s="74">
        <f t="shared" si="45"/>
        <v>0</v>
      </c>
      <c r="T144" s="74">
        <f t="shared" si="45"/>
        <v>0</v>
      </c>
      <c r="U144" s="74">
        <f t="shared" si="45"/>
        <v>0</v>
      </c>
      <c r="V144" s="74">
        <f t="shared" si="45"/>
        <v>0</v>
      </c>
      <c r="W144" s="74">
        <f t="shared" si="45"/>
        <v>0</v>
      </c>
      <c r="X144" s="74">
        <f t="shared" si="45"/>
        <v>0</v>
      </c>
      <c r="Y144" s="74">
        <f t="shared" si="45"/>
        <v>0</v>
      </c>
      <c r="Z144" s="74">
        <f t="shared" si="45"/>
        <v>0</v>
      </c>
      <c r="AA144" s="74">
        <f t="shared" si="45"/>
        <v>0</v>
      </c>
      <c r="AB144" s="74">
        <f t="shared" si="45"/>
        <v>0</v>
      </c>
      <c r="AC144" s="74">
        <f t="shared" si="45"/>
        <v>0</v>
      </c>
      <c r="AD144" s="74">
        <f t="shared" si="45"/>
        <v>0</v>
      </c>
      <c r="AE144" s="74">
        <f t="shared" si="45"/>
        <v>0</v>
      </c>
      <c r="AF144" s="74">
        <f t="shared" si="45"/>
        <v>0</v>
      </c>
      <c r="AG144" s="74">
        <f t="shared" si="45"/>
        <v>0</v>
      </c>
      <c r="AH144" s="74">
        <f t="shared" si="45"/>
        <v>0</v>
      </c>
      <c r="AI144" s="74">
        <f t="shared" si="45"/>
        <v>0</v>
      </c>
      <c r="AJ144" s="74">
        <f t="shared" si="45"/>
        <v>0</v>
      </c>
      <c r="AK144" s="74">
        <f t="shared" si="45"/>
        <v>0</v>
      </c>
      <c r="AL144" s="74">
        <f t="shared" si="45"/>
        <v>0</v>
      </c>
      <c r="AM144" s="74">
        <f t="shared" si="45"/>
        <v>0</v>
      </c>
    </row>
    <row r="145" spans="2:39" s="73" customFormat="1" x14ac:dyDescent="0.25">
      <c r="B145" s="72" t="s">
        <v>8</v>
      </c>
      <c r="C145" s="72"/>
      <c r="E145" s="72"/>
      <c r="F145" s="74">
        <v>0</v>
      </c>
      <c r="G145" s="74">
        <f>G136*$C$13</f>
        <v>-60000</v>
      </c>
      <c r="H145" s="74">
        <f t="shared" ref="H145:AM145" si="46">H136*$C$13</f>
        <v>-59274.090570695364</v>
      </c>
      <c r="I145" s="74">
        <f t="shared" si="46"/>
        <v>-58459.588175632452</v>
      </c>
      <c r="J145" s="74">
        <f t="shared" si="46"/>
        <v>-57551.824600409207</v>
      </c>
      <c r="K145" s="74">
        <f t="shared" si="46"/>
        <v>-56545.923911442056</v>
      </c>
      <c r="L145" s="74">
        <f t="shared" si="46"/>
        <v>-55436.793761121029</v>
      </c>
      <c r="M145" s="74">
        <f t="shared" si="46"/>
        <v>-54219.116338208507</v>
      </c>
      <c r="N145" s="74">
        <f t="shared" si="46"/>
        <v>-52887.338949169294</v>
      </c>
      <c r="O145" s="74">
        <f t="shared" si="46"/>
        <v>-51435.664215544901</v>
      </c>
      <c r="P145" s="74">
        <f t="shared" si="46"/>
        <v>-49858.039871887573</v>
      </c>
      <c r="Q145" s="74">
        <f t="shared" si="46"/>
        <v>1.7549609765410424E-10</v>
      </c>
      <c r="R145" s="74">
        <f t="shared" si="46"/>
        <v>1.8251594156026841E-10</v>
      </c>
      <c r="S145" s="74">
        <f t="shared" si="46"/>
        <v>1.8981657922267913E-10</v>
      </c>
      <c r="T145" s="74">
        <f t="shared" si="46"/>
        <v>1.9740924239158633E-10</v>
      </c>
      <c r="U145" s="74">
        <f t="shared" si="46"/>
        <v>2.0530561208724976E-10</v>
      </c>
      <c r="V145" s="74">
        <f t="shared" si="46"/>
        <v>2.1351783657073975E-10</v>
      </c>
      <c r="W145" s="74">
        <f t="shared" si="46"/>
        <v>2.2205855003356935E-10</v>
      </c>
      <c r="X145" s="74">
        <f t="shared" si="46"/>
        <v>2.3094089203491212E-10</v>
      </c>
      <c r="Y145" s="74">
        <f t="shared" si="46"/>
        <v>2.4017852771630861E-10</v>
      </c>
      <c r="Z145" s="74">
        <f t="shared" si="46"/>
        <v>2.4978566882496096E-10</v>
      </c>
      <c r="AA145" s="74">
        <f t="shared" si="46"/>
        <v>2.5977709557795941E-10</v>
      </c>
      <c r="AB145" s="74">
        <f t="shared" si="46"/>
        <v>2.7016817940107772E-10</v>
      </c>
      <c r="AC145" s="74">
        <f t="shared" si="46"/>
        <v>2.8097490657712085E-10</v>
      </c>
      <c r="AD145" s="74">
        <f t="shared" si="46"/>
        <v>2.9221390284020572E-10</v>
      </c>
      <c r="AE145" s="74">
        <f t="shared" si="46"/>
        <v>3.0390245895381397E-10</v>
      </c>
      <c r="AF145" s="74">
        <f t="shared" si="46"/>
        <v>3.1605855731196647E-10</v>
      </c>
      <c r="AG145" s="74">
        <f t="shared" si="46"/>
        <v>3.2870089960444512E-10</v>
      </c>
      <c r="AH145" s="74">
        <f t="shared" si="46"/>
        <v>3.4184893558862294E-10</v>
      </c>
      <c r="AI145" s="74">
        <f t="shared" si="46"/>
        <v>3.5552289301216784E-10</v>
      </c>
      <c r="AJ145" s="74">
        <f t="shared" si="46"/>
        <v>3.6974380873265458E-10</v>
      </c>
      <c r="AK145" s="74">
        <f t="shared" si="46"/>
        <v>3.8453356108196077E-10</v>
      </c>
      <c r="AL145" s="74">
        <f t="shared" si="46"/>
        <v>3.9991490352523923E-10</v>
      </c>
      <c r="AM145" s="74">
        <f t="shared" si="46"/>
        <v>4.1591149966624883E-10</v>
      </c>
    </row>
    <row r="146" spans="2:39" s="73" customFormat="1" x14ac:dyDescent="0.25">
      <c r="B146" s="72" t="s">
        <v>61</v>
      </c>
      <c r="C146" s="72"/>
      <c r="E146" s="72"/>
      <c r="F146" s="74">
        <f>F41</f>
        <v>-1500000</v>
      </c>
      <c r="G146" s="74">
        <f>SUM(G136:G137,G145)</f>
        <v>-1481852.2642673841</v>
      </c>
      <c r="H146" s="74">
        <f t="shared" ref="H146:AM146" si="47">SUM(H136:H137,H145)</f>
        <v>-1461489.7043908113</v>
      </c>
      <c r="I146" s="74">
        <f t="shared" si="47"/>
        <v>-1438795.6150102301</v>
      </c>
      <c r="J146" s="74">
        <f t="shared" si="47"/>
        <v>-1413648.0977860515</v>
      </c>
      <c r="K146" s="74">
        <f t="shared" si="47"/>
        <v>-1385919.8440280256</v>
      </c>
      <c r="L146" s="74">
        <f t="shared" si="47"/>
        <v>-1355477.9084552126</v>
      </c>
      <c r="M146" s="74">
        <f t="shared" si="47"/>
        <v>-1322183.4737292323</v>
      </c>
      <c r="N146" s="74">
        <f t="shared" si="47"/>
        <v>-1285891.6053886225</v>
      </c>
      <c r="O146" s="74">
        <f t="shared" si="47"/>
        <v>-1246450.9967971893</v>
      </c>
      <c r="P146" s="74">
        <f t="shared" si="47"/>
        <v>4.3874024413526058E-9</v>
      </c>
      <c r="Q146" s="74">
        <f t="shared" si="47"/>
        <v>4.5628985390067101E-9</v>
      </c>
      <c r="R146" s="74">
        <f t="shared" si="47"/>
        <v>4.7454144805669783E-9</v>
      </c>
      <c r="S146" s="74">
        <f t="shared" si="47"/>
        <v>4.9352310597896578E-9</v>
      </c>
      <c r="T146" s="74">
        <f t="shared" si="47"/>
        <v>5.1326403021812437E-9</v>
      </c>
      <c r="U146" s="74">
        <f t="shared" si="47"/>
        <v>5.3379459142684938E-9</v>
      </c>
      <c r="V146" s="74">
        <f t="shared" si="47"/>
        <v>5.5514637508392336E-9</v>
      </c>
      <c r="W146" s="74">
        <f t="shared" si="47"/>
        <v>5.773522300872803E-9</v>
      </c>
      <c r="X146" s="74">
        <f t="shared" si="47"/>
        <v>6.0044631929077153E-9</v>
      </c>
      <c r="Y146" s="74">
        <f t="shared" si="47"/>
        <v>6.2446417206240237E-9</v>
      </c>
      <c r="Z146" s="74">
        <f t="shared" si="47"/>
        <v>6.4944273894489844E-9</v>
      </c>
      <c r="AA146" s="74">
        <f t="shared" si="47"/>
        <v>6.7542044850269435E-9</v>
      </c>
      <c r="AB146" s="74">
        <f t="shared" si="47"/>
        <v>7.0243726644280211E-9</v>
      </c>
      <c r="AC146" s="74">
        <f t="shared" si="47"/>
        <v>7.3053475710051423E-9</v>
      </c>
      <c r="AD146" s="74">
        <f t="shared" si="47"/>
        <v>7.5975614738453485E-9</v>
      </c>
      <c r="AE146" s="74">
        <f t="shared" si="47"/>
        <v>7.9014639327991619E-9</v>
      </c>
      <c r="AF146" s="74">
        <f t="shared" si="47"/>
        <v>8.2175224901111281E-9</v>
      </c>
      <c r="AG146" s="74">
        <f t="shared" si="47"/>
        <v>8.5462233897155734E-9</v>
      </c>
      <c r="AH146" s="74">
        <f t="shared" si="47"/>
        <v>8.8880723253041959E-9</v>
      </c>
      <c r="AI146" s="74">
        <f t="shared" si="47"/>
        <v>9.2435952183163645E-9</v>
      </c>
      <c r="AJ146" s="74">
        <f t="shared" si="47"/>
        <v>9.6133390270490198E-9</v>
      </c>
      <c r="AK146" s="74">
        <f t="shared" si="47"/>
        <v>9.9978725881309809E-9</v>
      </c>
      <c r="AL146" s="74">
        <f t="shared" si="47"/>
        <v>1.0397787491656221E-8</v>
      </c>
      <c r="AM146" s="74">
        <f t="shared" si="47"/>
        <v>1.081369899132247E-8</v>
      </c>
    </row>
    <row r="147" spans="2:39" x14ac:dyDescent="0.25">
      <c r="B147" s="18"/>
    </row>
    <row r="148" spans="2:39" x14ac:dyDescent="0.25">
      <c r="B148" s="18"/>
    </row>
    <row r="149" spans="2:39" x14ac:dyDescent="0.25">
      <c r="B149" s="18"/>
    </row>
    <row r="150" spans="2:39" x14ac:dyDescent="0.25">
      <c r="B150" s="90" t="s">
        <v>62</v>
      </c>
      <c r="C150" s="76" t="e">
        <f>#REF!</f>
        <v>#REF!</v>
      </c>
      <c r="D150" s="76"/>
      <c r="E150" s="76"/>
    </row>
    <row r="151" spans="2:39" s="73" customFormat="1" x14ac:dyDescent="0.25">
      <c r="B151" s="72" t="s">
        <v>60</v>
      </c>
      <c r="C151" s="72"/>
      <c r="D151" s="72"/>
      <c r="E151" s="72"/>
      <c r="F151" s="74">
        <v>0</v>
      </c>
      <c r="G151" s="74">
        <f>F161</f>
        <v>-1500000</v>
      </c>
      <c r="H151" s="74">
        <f t="shared" ref="H151:AM151" si="48">G161</f>
        <v>-1492488.0109529677</v>
      </c>
      <c r="I151" s="74">
        <f t="shared" si="48"/>
        <v>-1483893.9825083485</v>
      </c>
      <c r="J151" s="74">
        <f t="shared" si="48"/>
        <v>-1474168.0873927036</v>
      </c>
      <c r="K151" s="74">
        <f t="shared" si="48"/>
        <v>-1463258.523104443</v>
      </c>
      <c r="L151" s="74">
        <f t="shared" si="48"/>
        <v>-1451111.4357747282</v>
      </c>
      <c r="M151" s="74">
        <f t="shared" si="48"/>
        <v>-1437670.841084226</v>
      </c>
      <c r="N151" s="74">
        <f t="shared" si="48"/>
        <v>-1422878.5421207817</v>
      </c>
      <c r="O151" s="74">
        <f t="shared" si="48"/>
        <v>-1406674.0440585513</v>
      </c>
      <c r="P151" s="74">
        <f t="shared" si="48"/>
        <v>-1388994.4655344242</v>
      </c>
      <c r="Q151" s="74">
        <f t="shared" si="48"/>
        <v>-1369774.4465926837</v>
      </c>
      <c r="R151" s="74">
        <f t="shared" si="48"/>
        <v>-1348946.0530637619</v>
      </c>
      <c r="S151" s="74">
        <f t="shared" si="48"/>
        <v>-1326438.6772376597</v>
      </c>
      <c r="T151" s="74">
        <f t="shared" si="48"/>
        <v>-1302178.9346871092</v>
      </c>
      <c r="U151" s="74">
        <f t="shared" si="48"/>
        <v>-1276090.5570898405</v>
      </c>
      <c r="V151" s="74">
        <f t="shared" si="48"/>
        <v>-1248094.2808933721</v>
      </c>
      <c r="W151" s="74">
        <f t="shared" si="48"/>
        <v>-1218107.7316595702</v>
      </c>
      <c r="X151" s="74">
        <f t="shared" si="48"/>
        <v>-1186045.303919801</v>
      </c>
      <c r="Y151" s="74">
        <f t="shared" si="48"/>
        <v>-1151818.0363648233</v>
      </c>
      <c r="Z151" s="74">
        <f t="shared" si="48"/>
        <v>-1115333.4821866297</v>
      </c>
      <c r="AA151" s="74">
        <f t="shared" si="48"/>
        <v>-1076495.5743822239</v>
      </c>
      <c r="AB151" s="74">
        <f t="shared" si="48"/>
        <v>-1035204.4858218274</v>
      </c>
      <c r="AC151" s="74">
        <f t="shared" si="48"/>
        <v>-991356.48387619981</v>
      </c>
      <c r="AD151" s="74">
        <f t="shared" si="48"/>
        <v>-944843.77938965289</v>
      </c>
      <c r="AE151" s="74">
        <f t="shared" si="48"/>
        <v>-895554.36977690645</v>
      </c>
      <c r="AF151" s="74">
        <f t="shared" si="48"/>
        <v>-843371.87601316383</v>
      </c>
      <c r="AG151" s="74">
        <f t="shared" si="48"/>
        <v>-788175.37327767443</v>
      </c>
      <c r="AH151" s="74">
        <f t="shared" si="48"/>
        <v>-729839.21500157285</v>
      </c>
      <c r="AI151" s="74">
        <f t="shared" si="48"/>
        <v>-668232.85006092931</v>
      </c>
      <c r="AJ151" s="74">
        <f t="shared" si="48"/>
        <v>-603220.63284570584</v>
      </c>
      <c r="AK151" s="74">
        <f t="shared" si="48"/>
        <v>1.4388206182047725E-8</v>
      </c>
      <c r="AL151" s="74">
        <f t="shared" si="48"/>
        <v>1.4963734429329633E-8</v>
      </c>
      <c r="AM151" s="74">
        <f t="shared" si="48"/>
        <v>1.5562283806502819E-8</v>
      </c>
    </row>
    <row r="152" spans="2:39" s="73" customFormat="1" x14ac:dyDescent="0.25">
      <c r="B152" s="72" t="s">
        <v>59</v>
      </c>
      <c r="C152" s="72"/>
      <c r="D152" s="72"/>
      <c r="E152" s="72"/>
      <c r="F152" s="74">
        <v>0</v>
      </c>
      <c r="G152" s="74">
        <f t="shared" ref="G152:AM152" si="49">G75+G71</f>
        <v>67511.98904703233</v>
      </c>
      <c r="H152" s="74">
        <f t="shared" si="49"/>
        <v>68293.548882737829</v>
      </c>
      <c r="I152" s="74">
        <f t="shared" si="49"/>
        <v>69081.654415978919</v>
      </c>
      <c r="J152" s="74">
        <f t="shared" si="49"/>
        <v>69876.287783968612</v>
      </c>
      <c r="K152" s="74">
        <f t="shared" si="49"/>
        <v>70677.428253892533</v>
      </c>
      <c r="L152" s="74">
        <f t="shared" si="49"/>
        <v>71485.052121491506</v>
      </c>
      <c r="M152" s="74">
        <f t="shared" si="49"/>
        <v>72299.132606813364</v>
      </c>
      <c r="N152" s="74">
        <f t="shared" si="49"/>
        <v>73119.639747061854</v>
      </c>
      <c r="O152" s="74">
        <f t="shared" si="49"/>
        <v>73946.540286469302</v>
      </c>
      <c r="P152" s="74">
        <f t="shared" si="49"/>
        <v>74779.797563117405</v>
      </c>
      <c r="Q152" s="74">
        <f t="shared" si="49"/>
        <v>75619.371392629197</v>
      </c>
      <c r="R152" s="74">
        <f t="shared" si="49"/>
        <v>76465.21794865292</v>
      </c>
      <c r="S152" s="74">
        <f t="shared" si="49"/>
        <v>77317.289640056988</v>
      </c>
      <c r="T152" s="74">
        <f t="shared" si="49"/>
        <v>78175.534984752972</v>
      </c>
      <c r="U152" s="74">
        <f t="shared" si="49"/>
        <v>79039.898480061907</v>
      </c>
      <c r="V152" s="74">
        <f t="shared" si="49"/>
        <v>79910.32046953676</v>
      </c>
      <c r="W152" s="74">
        <f t="shared" si="49"/>
        <v>80786.737006152078</v>
      </c>
      <c r="X152" s="74">
        <f t="shared" si="49"/>
        <v>81669.07971176962</v>
      </c>
      <c r="Y152" s="74">
        <f t="shared" si="49"/>
        <v>82557.275632786594</v>
      </c>
      <c r="Z152" s="74">
        <f t="shared" si="49"/>
        <v>83451.2470918709</v>
      </c>
      <c r="AA152" s="74">
        <f t="shared" si="49"/>
        <v>84350.911535685387</v>
      </c>
      <c r="AB152" s="74">
        <f t="shared" si="49"/>
        <v>85256.181378500813</v>
      </c>
      <c r="AC152" s="74">
        <f t="shared" si="49"/>
        <v>86166.963841594916</v>
      </c>
      <c r="AD152" s="74">
        <f t="shared" si="49"/>
        <v>87083.160788332534</v>
      </c>
      <c r="AE152" s="74">
        <f t="shared" si="49"/>
        <v>88004.668554818869</v>
      </c>
      <c r="AF152" s="74">
        <f t="shared" si="49"/>
        <v>88931.377776015841</v>
      </c>
      <c r="AG152" s="74">
        <f t="shared" si="49"/>
        <v>89863.173207208543</v>
      </c>
      <c r="AH152" s="74">
        <f t="shared" si="49"/>
        <v>90799.933540706435</v>
      </c>
      <c r="AI152" s="74">
        <f t="shared" si="49"/>
        <v>91741.531217660668</v>
      </c>
      <c r="AJ152" s="74">
        <f t="shared" si="49"/>
        <v>627349.45815954846</v>
      </c>
      <c r="AK152" s="74">
        <f t="shared" si="49"/>
        <v>0</v>
      </c>
      <c r="AL152" s="74">
        <f t="shared" si="49"/>
        <v>0</v>
      </c>
      <c r="AM152" s="74">
        <f t="shared" si="49"/>
        <v>0</v>
      </c>
    </row>
    <row r="153" spans="2:39" s="73" customFormat="1" x14ac:dyDescent="0.25">
      <c r="B153" s="72" t="s">
        <v>0</v>
      </c>
      <c r="C153" s="72"/>
      <c r="D153" s="72"/>
      <c r="E153" s="72"/>
      <c r="F153" s="74">
        <f t="shared" ref="F153:AM153" si="50">F62</f>
        <v>-1500000</v>
      </c>
      <c r="G153" s="74">
        <f t="shared" si="50"/>
        <v>0</v>
      </c>
      <c r="H153" s="74">
        <f t="shared" si="50"/>
        <v>0</v>
      </c>
      <c r="I153" s="74">
        <f t="shared" si="50"/>
        <v>0</v>
      </c>
      <c r="J153" s="74">
        <f t="shared" si="50"/>
        <v>0</v>
      </c>
      <c r="K153" s="74">
        <f t="shared" si="50"/>
        <v>0</v>
      </c>
      <c r="L153" s="74">
        <f t="shared" si="50"/>
        <v>0</v>
      </c>
      <c r="M153" s="74">
        <f t="shared" si="50"/>
        <v>0</v>
      </c>
      <c r="N153" s="74">
        <f t="shared" si="50"/>
        <v>0</v>
      </c>
      <c r="O153" s="74">
        <f t="shared" si="50"/>
        <v>0</v>
      </c>
      <c r="P153" s="74">
        <f t="shared" si="50"/>
        <v>0</v>
      </c>
      <c r="Q153" s="74">
        <f t="shared" si="50"/>
        <v>0</v>
      </c>
      <c r="R153" s="74">
        <f t="shared" si="50"/>
        <v>0</v>
      </c>
      <c r="S153" s="74">
        <f t="shared" si="50"/>
        <v>0</v>
      </c>
      <c r="T153" s="74">
        <f t="shared" si="50"/>
        <v>0</v>
      </c>
      <c r="U153" s="74">
        <f t="shared" si="50"/>
        <v>0</v>
      </c>
      <c r="V153" s="74">
        <f t="shared" si="50"/>
        <v>0</v>
      </c>
      <c r="W153" s="74">
        <f t="shared" si="50"/>
        <v>0</v>
      </c>
      <c r="X153" s="74">
        <f t="shared" si="50"/>
        <v>0</v>
      </c>
      <c r="Y153" s="74">
        <f t="shared" si="50"/>
        <v>0</v>
      </c>
      <c r="Z153" s="74">
        <f t="shared" si="50"/>
        <v>0</v>
      </c>
      <c r="AA153" s="74">
        <f t="shared" si="50"/>
        <v>0</v>
      </c>
      <c r="AB153" s="74">
        <f t="shared" si="50"/>
        <v>0</v>
      </c>
      <c r="AC153" s="74">
        <f t="shared" si="50"/>
        <v>0</v>
      </c>
      <c r="AD153" s="74">
        <f t="shared" si="50"/>
        <v>0</v>
      </c>
      <c r="AE153" s="74">
        <f t="shared" si="50"/>
        <v>0</v>
      </c>
      <c r="AF153" s="74">
        <f t="shared" si="50"/>
        <v>0</v>
      </c>
      <c r="AG153" s="74">
        <f t="shared" si="50"/>
        <v>0</v>
      </c>
      <c r="AH153" s="74">
        <f t="shared" si="50"/>
        <v>0</v>
      </c>
      <c r="AI153" s="74">
        <f t="shared" si="50"/>
        <v>0</v>
      </c>
      <c r="AJ153" s="74">
        <f t="shared" si="50"/>
        <v>0</v>
      </c>
      <c r="AK153" s="74">
        <f t="shared" si="50"/>
        <v>0</v>
      </c>
      <c r="AL153" s="74">
        <f t="shared" si="50"/>
        <v>0</v>
      </c>
      <c r="AM153" s="74">
        <f t="shared" si="50"/>
        <v>0</v>
      </c>
    </row>
    <row r="154" spans="2:39" s="73" customFormat="1" x14ac:dyDescent="0.25">
      <c r="B154" s="72" t="s">
        <v>55</v>
      </c>
      <c r="C154" s="72"/>
      <c r="D154" s="72"/>
      <c r="E154" s="72"/>
      <c r="F154" s="74">
        <f t="shared" ref="F154:AM154" si="51">F63</f>
        <v>0</v>
      </c>
      <c r="G154" s="74">
        <f t="shared" si="51"/>
        <v>-24000</v>
      </c>
      <c r="H154" s="74">
        <f t="shared" si="51"/>
        <v>-24540</v>
      </c>
      <c r="I154" s="74">
        <f t="shared" si="51"/>
        <v>-25092.149999999998</v>
      </c>
      <c r="J154" s="74">
        <f t="shared" si="51"/>
        <v>-25656.723374999998</v>
      </c>
      <c r="K154" s="74">
        <f t="shared" si="51"/>
        <v>-26233.999650937498</v>
      </c>
      <c r="L154" s="74">
        <f t="shared" si="51"/>
        <v>-26824.264643083592</v>
      </c>
      <c r="M154" s="74">
        <f t="shared" si="51"/>
        <v>-27427.810597552972</v>
      </c>
      <c r="N154" s="74">
        <f t="shared" si="51"/>
        <v>-28044.936335997914</v>
      </c>
      <c r="O154" s="74">
        <f t="shared" si="51"/>
        <v>-28675.947403557868</v>
      </c>
      <c r="P154" s="74">
        <f t="shared" si="51"/>
        <v>-29321.15622013792</v>
      </c>
      <c r="Q154" s="74">
        <f t="shared" si="51"/>
        <v>-29980.882235091023</v>
      </c>
      <c r="R154" s="74">
        <f t="shared" si="51"/>
        <v>-30655.45208538057</v>
      </c>
      <c r="S154" s="74">
        <f t="shared" si="51"/>
        <v>-31345.199757301631</v>
      </c>
      <c r="T154" s="74">
        <f t="shared" si="51"/>
        <v>-32050.466751840915</v>
      </c>
      <c r="U154" s="74">
        <f t="shared" si="51"/>
        <v>-32771.602253757337</v>
      </c>
      <c r="V154" s="74">
        <f t="shared" si="51"/>
        <v>-33508.963304466874</v>
      </c>
      <c r="W154" s="74">
        <f t="shared" si="51"/>
        <v>-34262.914978817375</v>
      </c>
      <c r="X154" s="74">
        <f t="shared" si="51"/>
        <v>-35033.830565840763</v>
      </c>
      <c r="Y154" s="74">
        <f t="shared" si="51"/>
        <v>-35822.091753572182</v>
      </c>
      <c r="Z154" s="74">
        <f t="shared" si="51"/>
        <v>-36628.088818027558</v>
      </c>
      <c r="AA154" s="74">
        <f t="shared" si="51"/>
        <v>-37452.220816433175</v>
      </c>
      <c r="AB154" s="74">
        <f t="shared" si="51"/>
        <v>-38294.895784802917</v>
      </c>
      <c r="AC154" s="74">
        <f t="shared" si="51"/>
        <v>-39156.530939960983</v>
      </c>
      <c r="AD154" s="74">
        <f t="shared" si="51"/>
        <v>-40037.552886110105</v>
      </c>
      <c r="AE154" s="74">
        <f t="shared" si="51"/>
        <v>-40938.397826047578</v>
      </c>
      <c r="AF154" s="74">
        <f t="shared" si="51"/>
        <v>-41859.511777133645</v>
      </c>
      <c r="AG154" s="74">
        <f t="shared" si="51"/>
        <v>-42801.350792119149</v>
      </c>
      <c r="AH154" s="74">
        <f t="shared" si="51"/>
        <v>-43764.381184941827</v>
      </c>
      <c r="AI154" s="74">
        <f t="shared" si="51"/>
        <v>-44749.079761603018</v>
      </c>
      <c r="AJ154" s="74">
        <f t="shared" si="51"/>
        <v>-45755.934056239086</v>
      </c>
      <c r="AK154" s="74">
        <f t="shared" si="51"/>
        <v>0</v>
      </c>
      <c r="AL154" s="74">
        <f t="shared" si="51"/>
        <v>0</v>
      </c>
      <c r="AM154" s="74">
        <f t="shared" si="51"/>
        <v>0</v>
      </c>
    </row>
    <row r="155" spans="2:39" s="73" customFormat="1" x14ac:dyDescent="0.25">
      <c r="B155" s="72" t="s">
        <v>10</v>
      </c>
      <c r="C155" s="72"/>
      <c r="D155" s="72"/>
      <c r="E155" s="72"/>
      <c r="F155" s="74">
        <f t="shared" ref="F155:AM155" si="52">F64</f>
        <v>0</v>
      </c>
      <c r="G155" s="74">
        <f t="shared" si="52"/>
        <v>-1800</v>
      </c>
      <c r="H155" s="74">
        <f t="shared" si="52"/>
        <v>-1836</v>
      </c>
      <c r="I155" s="74">
        <f t="shared" si="52"/>
        <v>-1872.72</v>
      </c>
      <c r="J155" s="74">
        <f t="shared" si="52"/>
        <v>-1910.1744000000001</v>
      </c>
      <c r="K155" s="74">
        <f t="shared" si="52"/>
        <v>-1948.3778880000002</v>
      </c>
      <c r="L155" s="74">
        <f t="shared" si="52"/>
        <v>-1987.3454457600003</v>
      </c>
      <c r="M155" s="74">
        <f t="shared" si="52"/>
        <v>-2027.0923546752003</v>
      </c>
      <c r="N155" s="74">
        <f t="shared" si="52"/>
        <v>-2067.6342017687043</v>
      </c>
      <c r="O155" s="74">
        <f t="shared" si="52"/>
        <v>-2108.9868858040786</v>
      </c>
      <c r="P155" s="74">
        <f t="shared" si="52"/>
        <v>-2151.1666235201601</v>
      </c>
      <c r="Q155" s="74">
        <f t="shared" si="52"/>
        <v>-2194.1899559905632</v>
      </c>
      <c r="R155" s="74">
        <f t="shared" si="52"/>
        <v>-2238.0737551103743</v>
      </c>
      <c r="S155" s="74">
        <f t="shared" si="52"/>
        <v>-2282.8352302125818</v>
      </c>
      <c r="T155" s="74">
        <f t="shared" si="52"/>
        <v>-2328.4919348168337</v>
      </c>
      <c r="U155" s="74">
        <f t="shared" si="52"/>
        <v>-2375.0617735131705</v>
      </c>
      <c r="V155" s="74">
        <f t="shared" si="52"/>
        <v>-2422.563008983434</v>
      </c>
      <c r="W155" s="74">
        <f t="shared" si="52"/>
        <v>-2471.0142691631027</v>
      </c>
      <c r="X155" s="74">
        <f t="shared" si="52"/>
        <v>-2520.4345545463648</v>
      </c>
      <c r="Y155" s="74">
        <f t="shared" si="52"/>
        <v>-2570.8432456372921</v>
      </c>
      <c r="Z155" s="74">
        <f t="shared" si="52"/>
        <v>-2622.260110550038</v>
      </c>
      <c r="AA155" s="74">
        <f t="shared" si="52"/>
        <v>-2674.7053127610388</v>
      </c>
      <c r="AB155" s="74">
        <f t="shared" si="52"/>
        <v>-2728.1994190162595</v>
      </c>
      <c r="AC155" s="74">
        <f t="shared" si="52"/>
        <v>-2782.7634073965846</v>
      </c>
      <c r="AD155" s="74">
        <f t="shared" si="52"/>
        <v>-2838.4186755445162</v>
      </c>
      <c r="AE155" s="74">
        <f t="shared" si="52"/>
        <v>-2895.1870490554065</v>
      </c>
      <c r="AF155" s="74">
        <f t="shared" si="52"/>
        <v>-2953.0907900365146</v>
      </c>
      <c r="AG155" s="74">
        <f t="shared" si="52"/>
        <v>-3012.1526058372451</v>
      </c>
      <c r="AH155" s="74">
        <f t="shared" si="52"/>
        <v>-3072.3956579539899</v>
      </c>
      <c r="AI155" s="74">
        <f t="shared" si="52"/>
        <v>-3133.8435711130696</v>
      </c>
      <c r="AJ155" s="74">
        <f t="shared" si="52"/>
        <v>-3196.5204425353309</v>
      </c>
      <c r="AK155" s="74">
        <f t="shared" si="52"/>
        <v>0</v>
      </c>
      <c r="AL155" s="74">
        <f t="shared" si="52"/>
        <v>0</v>
      </c>
      <c r="AM155" s="74">
        <f t="shared" si="52"/>
        <v>0</v>
      </c>
    </row>
    <row r="156" spans="2:39" s="73" customFormat="1" x14ac:dyDescent="0.25">
      <c r="B156" s="72" t="s">
        <v>11</v>
      </c>
      <c r="C156" s="72"/>
      <c r="D156" s="72"/>
      <c r="E156" s="72"/>
      <c r="F156" s="74">
        <f t="shared" ref="F156:AM156" si="53">F65</f>
        <v>0</v>
      </c>
      <c r="G156" s="74">
        <f t="shared" si="53"/>
        <v>-3600</v>
      </c>
      <c r="H156" s="74">
        <f t="shared" si="53"/>
        <v>-3681</v>
      </c>
      <c r="I156" s="74">
        <f t="shared" si="53"/>
        <v>-3763.8224999999998</v>
      </c>
      <c r="J156" s="74">
        <f t="shared" si="53"/>
        <v>-3848.5085062499998</v>
      </c>
      <c r="K156" s="74">
        <f t="shared" si="53"/>
        <v>-3935.0999476406246</v>
      </c>
      <c r="L156" s="74">
        <f t="shared" si="53"/>
        <v>-4023.6396964625383</v>
      </c>
      <c r="M156" s="74">
        <f t="shared" si="53"/>
        <v>-4114.1715896329451</v>
      </c>
      <c r="N156" s="74">
        <f t="shared" si="53"/>
        <v>-4206.7404503996859</v>
      </c>
      <c r="O156" s="74">
        <f t="shared" si="53"/>
        <v>-4301.3921105336785</v>
      </c>
      <c r="P156" s="74">
        <f t="shared" si="53"/>
        <v>-4398.1734330206864</v>
      </c>
      <c r="Q156" s="74">
        <f t="shared" si="53"/>
        <v>-4497.1323352636518</v>
      </c>
      <c r="R156" s="74">
        <f t="shared" si="53"/>
        <v>-4598.317812807084</v>
      </c>
      <c r="S156" s="74">
        <f t="shared" si="53"/>
        <v>-4701.7799635952433</v>
      </c>
      <c r="T156" s="74">
        <f t="shared" si="53"/>
        <v>-4807.5700127761365</v>
      </c>
      <c r="U156" s="74">
        <f t="shared" si="53"/>
        <v>-4915.7403380635997</v>
      </c>
      <c r="V156" s="74">
        <f t="shared" si="53"/>
        <v>-5026.3444956700305</v>
      </c>
      <c r="W156" s="74">
        <f t="shared" si="53"/>
        <v>-5139.4372468226056</v>
      </c>
      <c r="X156" s="74">
        <f t="shared" si="53"/>
        <v>-5255.0745848761144</v>
      </c>
      <c r="Y156" s="74">
        <f t="shared" si="53"/>
        <v>-5373.3137630358269</v>
      </c>
      <c r="Z156" s="74">
        <f t="shared" si="53"/>
        <v>-5494.2133227041331</v>
      </c>
      <c r="AA156" s="74">
        <f t="shared" si="53"/>
        <v>-5617.8331224649755</v>
      </c>
      <c r="AB156" s="74">
        <f t="shared" si="53"/>
        <v>-5744.2343677204371</v>
      </c>
      <c r="AC156" s="74">
        <f t="shared" si="53"/>
        <v>-5873.4796409941464</v>
      </c>
      <c r="AD156" s="74">
        <f t="shared" si="53"/>
        <v>-6005.6329329165146</v>
      </c>
      <c r="AE156" s="74">
        <f t="shared" si="53"/>
        <v>-6140.7596739071359</v>
      </c>
      <c r="AF156" s="74">
        <f t="shared" si="53"/>
        <v>-6278.9267665700463</v>
      </c>
      <c r="AG156" s="74">
        <f t="shared" si="53"/>
        <v>-6420.2026188178725</v>
      </c>
      <c r="AH156" s="74">
        <f t="shared" si="53"/>
        <v>-6564.6571777412746</v>
      </c>
      <c r="AI156" s="74">
        <f t="shared" si="53"/>
        <v>-6712.3619642404528</v>
      </c>
      <c r="AJ156" s="74">
        <f t="shared" si="53"/>
        <v>-6863.3901084358631</v>
      </c>
      <c r="AK156" s="74">
        <f t="shared" si="53"/>
        <v>0</v>
      </c>
      <c r="AL156" s="74">
        <f t="shared" si="53"/>
        <v>0</v>
      </c>
      <c r="AM156" s="74">
        <f t="shared" si="53"/>
        <v>0</v>
      </c>
    </row>
    <row r="157" spans="2:39" s="73" customFormat="1" x14ac:dyDescent="0.25">
      <c r="B157" s="72" t="s">
        <v>24</v>
      </c>
      <c r="C157" s="72"/>
      <c r="D157" s="72"/>
      <c r="E157" s="72"/>
      <c r="F157" s="74">
        <f t="shared" ref="F157:AM157" si="54">F66</f>
        <v>0</v>
      </c>
      <c r="G157" s="74">
        <f t="shared" si="54"/>
        <v>-2016</v>
      </c>
      <c r="H157" s="74">
        <f t="shared" si="54"/>
        <v>-2061.36</v>
      </c>
      <c r="I157" s="74">
        <f t="shared" si="54"/>
        <v>-2107.7406000000001</v>
      </c>
      <c r="J157" s="74">
        <f t="shared" si="54"/>
        <v>-2155.1647634999999</v>
      </c>
      <c r="K157" s="74">
        <f t="shared" si="54"/>
        <v>-2203.6559706787498</v>
      </c>
      <c r="L157" s="74">
        <f t="shared" si="54"/>
        <v>-2253.2382300190216</v>
      </c>
      <c r="M157" s="74">
        <f t="shared" si="54"/>
        <v>-2303.9360901944497</v>
      </c>
      <c r="N157" s="74">
        <f t="shared" si="54"/>
        <v>-2355.7746522238249</v>
      </c>
      <c r="O157" s="74">
        <f t="shared" si="54"/>
        <v>-2408.7795818988611</v>
      </c>
      <c r="P157" s="74">
        <f t="shared" si="54"/>
        <v>-2462.9771224915853</v>
      </c>
      <c r="Q157" s="74">
        <f t="shared" si="54"/>
        <v>-2518.3941077476461</v>
      </c>
      <c r="R157" s="74">
        <f t="shared" si="54"/>
        <v>-2575.0579751719679</v>
      </c>
      <c r="S157" s="74">
        <f t="shared" si="54"/>
        <v>-2632.9967796133369</v>
      </c>
      <c r="T157" s="74">
        <f t="shared" si="54"/>
        <v>-2692.2392071546369</v>
      </c>
      <c r="U157" s="74">
        <f t="shared" si="54"/>
        <v>-2752.8145893156161</v>
      </c>
      <c r="V157" s="74">
        <f t="shared" si="54"/>
        <v>-2814.7529175752175</v>
      </c>
      <c r="W157" s="74">
        <f t="shared" si="54"/>
        <v>-2878.0848582206595</v>
      </c>
      <c r="X157" s="74">
        <f t="shared" si="54"/>
        <v>-2942.8417675306241</v>
      </c>
      <c r="Y157" s="74">
        <f t="shared" si="54"/>
        <v>-3009.0557073000637</v>
      </c>
      <c r="Z157" s="74">
        <f t="shared" si="54"/>
        <v>-3076.7594607143146</v>
      </c>
      <c r="AA157" s="74">
        <f t="shared" si="54"/>
        <v>-3145.9865485803866</v>
      </c>
      <c r="AB157" s="74">
        <f t="shared" si="54"/>
        <v>-3216.7712459234449</v>
      </c>
      <c r="AC157" s="74">
        <f t="shared" si="54"/>
        <v>-3289.1485989567227</v>
      </c>
      <c r="AD157" s="74">
        <f t="shared" si="54"/>
        <v>-3363.1544424332492</v>
      </c>
      <c r="AE157" s="74">
        <f t="shared" si="54"/>
        <v>-3438.8254173879964</v>
      </c>
      <c r="AF157" s="74">
        <f t="shared" si="54"/>
        <v>-3516.1989892792262</v>
      </c>
      <c r="AG157" s="74">
        <f t="shared" si="54"/>
        <v>-3595.3134665380089</v>
      </c>
      <c r="AH157" s="74">
        <f t="shared" si="54"/>
        <v>-3676.2080195351136</v>
      </c>
      <c r="AI157" s="74">
        <f t="shared" si="54"/>
        <v>-3758.9226999746534</v>
      </c>
      <c r="AJ157" s="74">
        <f t="shared" si="54"/>
        <v>-3843.4984607240835</v>
      </c>
      <c r="AK157" s="74">
        <f t="shared" si="54"/>
        <v>0</v>
      </c>
      <c r="AL157" s="74">
        <f t="shared" si="54"/>
        <v>0</v>
      </c>
      <c r="AM157" s="74">
        <f t="shared" si="54"/>
        <v>0</v>
      </c>
    </row>
    <row r="158" spans="2:39" s="73" customFormat="1" x14ac:dyDescent="0.25">
      <c r="B158" s="72" t="s">
        <v>14</v>
      </c>
      <c r="C158" s="72"/>
      <c r="D158" s="72"/>
      <c r="E158" s="72"/>
      <c r="F158" s="74">
        <f t="shared" ref="F158:AM158" si="55">F69</f>
        <v>0</v>
      </c>
      <c r="G158" s="74">
        <f t="shared" si="55"/>
        <v>0</v>
      </c>
      <c r="H158" s="74">
        <f t="shared" si="55"/>
        <v>0</v>
      </c>
      <c r="I158" s="74">
        <f t="shared" si="55"/>
        <v>0</v>
      </c>
      <c r="J158" s="74">
        <f t="shared" si="55"/>
        <v>0</v>
      </c>
      <c r="K158" s="74">
        <f t="shared" si="55"/>
        <v>0</v>
      </c>
      <c r="L158" s="74">
        <f t="shared" si="55"/>
        <v>0</v>
      </c>
      <c r="M158" s="74">
        <f t="shared" si="55"/>
        <v>0</v>
      </c>
      <c r="N158" s="74">
        <f t="shared" si="55"/>
        <v>0</v>
      </c>
      <c r="O158" s="74">
        <f t="shared" si="55"/>
        <v>0</v>
      </c>
      <c r="P158" s="74">
        <f t="shared" si="55"/>
        <v>0</v>
      </c>
      <c r="Q158" s="74">
        <f t="shared" si="55"/>
        <v>0</v>
      </c>
      <c r="R158" s="74">
        <f t="shared" si="55"/>
        <v>0</v>
      </c>
      <c r="S158" s="74">
        <f t="shared" si="55"/>
        <v>0</v>
      </c>
      <c r="T158" s="74">
        <f t="shared" si="55"/>
        <v>0</v>
      </c>
      <c r="U158" s="74">
        <f t="shared" si="55"/>
        <v>0</v>
      </c>
      <c r="V158" s="74">
        <f t="shared" si="55"/>
        <v>0</v>
      </c>
      <c r="W158" s="74">
        <f t="shared" si="55"/>
        <v>0</v>
      </c>
      <c r="X158" s="74">
        <f t="shared" si="55"/>
        <v>0</v>
      </c>
      <c r="Y158" s="74">
        <f t="shared" si="55"/>
        <v>0</v>
      </c>
      <c r="Z158" s="74">
        <f t="shared" si="55"/>
        <v>0</v>
      </c>
      <c r="AA158" s="74">
        <f t="shared" si="55"/>
        <v>0</v>
      </c>
      <c r="AB158" s="74">
        <f t="shared" si="55"/>
        <v>0</v>
      </c>
      <c r="AC158" s="74">
        <f t="shared" si="55"/>
        <v>0</v>
      </c>
      <c r="AD158" s="74">
        <f t="shared" si="55"/>
        <v>0</v>
      </c>
      <c r="AE158" s="74">
        <f t="shared" si="55"/>
        <v>0</v>
      </c>
      <c r="AF158" s="74">
        <f t="shared" si="55"/>
        <v>0</v>
      </c>
      <c r="AG158" s="74">
        <f t="shared" si="55"/>
        <v>0</v>
      </c>
      <c r="AH158" s="74">
        <f t="shared" si="55"/>
        <v>0</v>
      </c>
      <c r="AI158" s="74">
        <f t="shared" si="55"/>
        <v>0</v>
      </c>
      <c r="AJ158" s="74">
        <f t="shared" si="55"/>
        <v>534661.62592467212</v>
      </c>
      <c r="AK158" s="74">
        <f t="shared" si="55"/>
        <v>0</v>
      </c>
      <c r="AL158" s="74">
        <f t="shared" si="55"/>
        <v>0</v>
      </c>
      <c r="AM158" s="74">
        <f t="shared" si="55"/>
        <v>0</v>
      </c>
    </row>
    <row r="159" spans="2:39" s="73" customFormat="1" x14ac:dyDescent="0.25">
      <c r="B159" s="72" t="s">
        <v>57</v>
      </c>
      <c r="C159" s="72"/>
      <c r="D159" s="72"/>
      <c r="E159" s="72"/>
      <c r="F159" s="74">
        <f t="shared" ref="F159:AM159" si="56">F75</f>
        <v>0</v>
      </c>
      <c r="G159" s="74">
        <f t="shared" si="56"/>
        <v>98927.98904703233</v>
      </c>
      <c r="H159" s="74">
        <f t="shared" si="56"/>
        <v>100411.90888273783</v>
      </c>
      <c r="I159" s="74">
        <f t="shared" si="56"/>
        <v>101918.08751597891</v>
      </c>
      <c r="J159" s="74">
        <f t="shared" si="56"/>
        <v>103446.85882871861</v>
      </c>
      <c r="K159" s="74">
        <f t="shared" si="56"/>
        <v>104998.56171114941</v>
      </c>
      <c r="L159" s="74">
        <f t="shared" si="56"/>
        <v>106573.54013681666</v>
      </c>
      <c r="M159" s="74">
        <f t="shared" si="56"/>
        <v>108172.14323886893</v>
      </c>
      <c r="N159" s="74">
        <f t="shared" si="56"/>
        <v>109794.72538745198</v>
      </c>
      <c r="O159" s="74">
        <f t="shared" si="56"/>
        <v>111441.64626826378</v>
      </c>
      <c r="P159" s="74">
        <f t="shared" si="56"/>
        <v>113113.27096228774</v>
      </c>
      <c r="Q159" s="74">
        <f t="shared" si="56"/>
        <v>114809.97002672208</v>
      </c>
      <c r="R159" s="74">
        <f t="shared" si="56"/>
        <v>116532.11957712292</v>
      </c>
      <c r="S159" s="74">
        <f t="shared" si="56"/>
        <v>118280.10137077978</v>
      </c>
      <c r="T159" s="74">
        <f t="shared" si="56"/>
        <v>120054.30289134149</v>
      </c>
      <c r="U159" s="74">
        <f t="shared" si="56"/>
        <v>121855.11743471163</v>
      </c>
      <c r="V159" s="74">
        <f t="shared" si="56"/>
        <v>123682.94419623232</v>
      </c>
      <c r="W159" s="74">
        <f t="shared" si="56"/>
        <v>125538.18835917582</v>
      </c>
      <c r="X159" s="74">
        <f t="shared" si="56"/>
        <v>127421.26118456348</v>
      </c>
      <c r="Y159" s="74">
        <f t="shared" si="56"/>
        <v>129332.58010233195</v>
      </c>
      <c r="Z159" s="74">
        <f t="shared" si="56"/>
        <v>131272.56880386695</v>
      </c>
      <c r="AA159" s="74">
        <f t="shared" si="56"/>
        <v>133241.65733592497</v>
      </c>
      <c r="AB159" s="74">
        <f t="shared" si="56"/>
        <v>135240.28219596387</v>
      </c>
      <c r="AC159" s="74">
        <f t="shared" si="56"/>
        <v>137268.88642890335</v>
      </c>
      <c r="AD159" s="74">
        <f t="shared" si="56"/>
        <v>139327.91972533692</v>
      </c>
      <c r="AE159" s="74">
        <f t="shared" si="56"/>
        <v>141417.838521217</v>
      </c>
      <c r="AF159" s="74">
        <f t="shared" si="56"/>
        <v>143539.10609903527</v>
      </c>
      <c r="AG159" s="74">
        <f t="shared" si="56"/>
        <v>145692.19269052081</v>
      </c>
      <c r="AH159" s="74">
        <f t="shared" si="56"/>
        <v>147877.57558087865</v>
      </c>
      <c r="AI159" s="74">
        <f t="shared" si="56"/>
        <v>150095.73921459186</v>
      </c>
      <c r="AJ159" s="74">
        <f t="shared" si="56"/>
        <v>152347.17530281076</v>
      </c>
      <c r="AK159" s="74">
        <f t="shared" si="56"/>
        <v>0</v>
      </c>
      <c r="AL159" s="74">
        <f t="shared" si="56"/>
        <v>0</v>
      </c>
      <c r="AM159" s="74">
        <f t="shared" si="56"/>
        <v>0</v>
      </c>
    </row>
    <row r="160" spans="2:39" s="73" customFormat="1" x14ac:dyDescent="0.25">
      <c r="B160" s="72" t="s">
        <v>8</v>
      </c>
      <c r="C160" s="72"/>
      <c r="D160" s="72"/>
      <c r="E160" s="72"/>
      <c r="F160" s="74">
        <v>0</v>
      </c>
      <c r="G160" s="74">
        <f t="shared" ref="G160:AM160" si="57">G151*$C$13</f>
        <v>-60000</v>
      </c>
      <c r="H160" s="74">
        <f t="shared" si="57"/>
        <v>-59699.520438118707</v>
      </c>
      <c r="I160" s="74">
        <f t="shared" si="57"/>
        <v>-59355.759300333943</v>
      </c>
      <c r="J160" s="74">
        <f t="shared" si="57"/>
        <v>-58966.723495708145</v>
      </c>
      <c r="K160" s="74">
        <f t="shared" si="57"/>
        <v>-58530.340924177719</v>
      </c>
      <c r="L160" s="74">
        <f t="shared" si="57"/>
        <v>-58044.457430989132</v>
      </c>
      <c r="M160" s="74">
        <f t="shared" si="57"/>
        <v>-57506.833643369042</v>
      </c>
      <c r="N160" s="74">
        <f t="shared" si="57"/>
        <v>-56915.141684831273</v>
      </c>
      <c r="O160" s="74">
        <f t="shared" si="57"/>
        <v>-56266.961762342056</v>
      </c>
      <c r="P160" s="74">
        <f t="shared" si="57"/>
        <v>-55559.778621376965</v>
      </c>
      <c r="Q160" s="74">
        <f t="shared" si="57"/>
        <v>-54790.977863707347</v>
      </c>
      <c r="R160" s="74">
        <f t="shared" si="57"/>
        <v>-53957.842122550479</v>
      </c>
      <c r="S160" s="74">
        <f t="shared" si="57"/>
        <v>-53057.547089506392</v>
      </c>
      <c r="T160" s="74">
        <f t="shared" si="57"/>
        <v>-52087.157387484367</v>
      </c>
      <c r="U160" s="74">
        <f t="shared" si="57"/>
        <v>-51043.622283593621</v>
      </c>
      <c r="V160" s="74">
        <f t="shared" si="57"/>
        <v>-49923.771235734886</v>
      </c>
      <c r="W160" s="74">
        <f t="shared" si="57"/>
        <v>-48724.309266382814</v>
      </c>
      <c r="X160" s="74">
        <f t="shared" si="57"/>
        <v>-47441.812156792039</v>
      </c>
      <c r="Y160" s="74">
        <f t="shared" si="57"/>
        <v>-46072.721454592938</v>
      </c>
      <c r="Z160" s="74">
        <f t="shared" si="57"/>
        <v>-44613.339287465191</v>
      </c>
      <c r="AA160" s="74">
        <f t="shared" si="57"/>
        <v>-43059.822975288953</v>
      </c>
      <c r="AB160" s="74">
        <f t="shared" si="57"/>
        <v>-41408.179432873098</v>
      </c>
      <c r="AC160" s="74">
        <f t="shared" si="57"/>
        <v>-39654.259355047994</v>
      </c>
      <c r="AD160" s="74">
        <f t="shared" si="57"/>
        <v>-37793.75117558612</v>
      </c>
      <c r="AE160" s="74">
        <f t="shared" si="57"/>
        <v>-35822.174791076257</v>
      </c>
      <c r="AF160" s="74">
        <f t="shared" si="57"/>
        <v>-33734.875040526553</v>
      </c>
      <c r="AG160" s="74">
        <f t="shared" si="57"/>
        <v>-31527.014931106976</v>
      </c>
      <c r="AH160" s="74">
        <f t="shared" si="57"/>
        <v>-29193.568600062914</v>
      </c>
      <c r="AI160" s="74">
        <f t="shared" si="57"/>
        <v>-26729.314002437171</v>
      </c>
      <c r="AJ160" s="74">
        <f t="shared" si="57"/>
        <v>-24128.825313828234</v>
      </c>
      <c r="AK160" s="74">
        <f t="shared" si="57"/>
        <v>5.7552824728190905E-10</v>
      </c>
      <c r="AL160" s="74">
        <f t="shared" si="57"/>
        <v>5.9854937717318532E-10</v>
      </c>
      <c r="AM160" s="74">
        <f t="shared" si="57"/>
        <v>6.2249135226011283E-10</v>
      </c>
    </row>
    <row r="161" spans="2:39" s="73" customFormat="1" x14ac:dyDescent="0.25">
      <c r="B161" s="72" t="s">
        <v>61</v>
      </c>
      <c r="C161" s="72"/>
      <c r="D161" s="72"/>
      <c r="E161" s="72"/>
      <c r="F161" s="74">
        <f>F71</f>
        <v>-1500000</v>
      </c>
      <c r="G161" s="74">
        <f>SUM(G151:G152,G160)</f>
        <v>-1492488.0109529677</v>
      </c>
      <c r="H161" s="74">
        <f t="shared" ref="H161" si="58">SUM(H151:H152,H160)</f>
        <v>-1483893.9825083485</v>
      </c>
      <c r="I161" s="74">
        <f t="shared" ref="I161" si="59">SUM(I151:I152,I160)</f>
        <v>-1474168.0873927036</v>
      </c>
      <c r="J161" s="74">
        <f t="shared" ref="J161" si="60">SUM(J151:J152,J160)</f>
        <v>-1463258.523104443</v>
      </c>
      <c r="K161" s="74">
        <f t="shared" ref="K161" si="61">SUM(K151:K152,K160)</f>
        <v>-1451111.4357747282</v>
      </c>
      <c r="L161" s="74">
        <f t="shared" ref="L161" si="62">SUM(L151:L152,L160)</f>
        <v>-1437670.841084226</v>
      </c>
      <c r="M161" s="74">
        <f t="shared" ref="M161" si="63">SUM(M151:M152,M160)</f>
        <v>-1422878.5421207817</v>
      </c>
      <c r="N161" s="74">
        <f t="shared" ref="N161" si="64">SUM(N151:N152,N160)</f>
        <v>-1406674.0440585513</v>
      </c>
      <c r="O161" s="74">
        <f t="shared" ref="O161" si="65">SUM(O151:O152,O160)</f>
        <v>-1388994.4655344242</v>
      </c>
      <c r="P161" s="74">
        <f t="shared" ref="P161" si="66">SUM(P151:P152,P160)</f>
        <v>-1369774.4465926837</v>
      </c>
      <c r="Q161" s="74">
        <f t="shared" ref="Q161" si="67">SUM(Q151:Q152,Q160)</f>
        <v>-1348946.0530637619</v>
      </c>
      <c r="R161" s="74">
        <f t="shared" ref="R161" si="68">SUM(R151:R152,R160)</f>
        <v>-1326438.6772376597</v>
      </c>
      <c r="S161" s="74">
        <f t="shared" ref="S161" si="69">SUM(S151:S152,S160)</f>
        <v>-1302178.9346871092</v>
      </c>
      <c r="T161" s="74">
        <f t="shared" ref="T161" si="70">SUM(T151:T152,T160)</f>
        <v>-1276090.5570898405</v>
      </c>
      <c r="U161" s="74">
        <f t="shared" ref="U161" si="71">SUM(U151:U152,U160)</f>
        <v>-1248094.2808933721</v>
      </c>
      <c r="V161" s="74">
        <f t="shared" ref="V161" si="72">SUM(V151:V152,V160)</f>
        <v>-1218107.7316595702</v>
      </c>
      <c r="W161" s="74">
        <f t="shared" ref="W161" si="73">SUM(W151:W152,W160)</f>
        <v>-1186045.303919801</v>
      </c>
      <c r="X161" s="74">
        <f t="shared" ref="X161" si="74">SUM(X151:X152,X160)</f>
        <v>-1151818.0363648233</v>
      </c>
      <c r="Y161" s="74">
        <f t="shared" ref="Y161" si="75">SUM(Y151:Y152,Y160)</f>
        <v>-1115333.4821866297</v>
      </c>
      <c r="Z161" s="74">
        <f t="shared" ref="Z161" si="76">SUM(Z151:Z152,Z160)</f>
        <v>-1076495.5743822239</v>
      </c>
      <c r="AA161" s="74">
        <f t="shared" ref="AA161" si="77">SUM(AA151:AA152,AA160)</f>
        <v>-1035204.4858218274</v>
      </c>
      <c r="AB161" s="74">
        <f t="shared" ref="AB161" si="78">SUM(AB151:AB152,AB160)</f>
        <v>-991356.48387619981</v>
      </c>
      <c r="AC161" s="74">
        <f t="shared" ref="AC161" si="79">SUM(AC151:AC152,AC160)</f>
        <v>-944843.77938965289</v>
      </c>
      <c r="AD161" s="74">
        <f t="shared" ref="AD161" si="80">SUM(AD151:AD152,AD160)</f>
        <v>-895554.36977690645</v>
      </c>
      <c r="AE161" s="74">
        <f t="shared" ref="AE161" si="81">SUM(AE151:AE152,AE160)</f>
        <v>-843371.87601316383</v>
      </c>
      <c r="AF161" s="74">
        <f t="shared" ref="AF161" si="82">SUM(AF151:AF152,AF160)</f>
        <v>-788175.37327767443</v>
      </c>
      <c r="AG161" s="74">
        <f t="shared" ref="AG161" si="83">SUM(AG151:AG152,AG160)</f>
        <v>-729839.21500157285</v>
      </c>
      <c r="AH161" s="74">
        <f t="shared" ref="AH161" si="84">SUM(AH151:AH152,AH160)</f>
        <v>-668232.85006092931</v>
      </c>
      <c r="AI161" s="74">
        <f t="shared" ref="AI161" si="85">SUM(AI151:AI152,AI160)</f>
        <v>-603220.63284570584</v>
      </c>
      <c r="AJ161" s="74">
        <f t="shared" ref="AJ161" si="86">SUM(AJ151:AJ152,AJ160)</f>
        <v>1.4388206182047725E-8</v>
      </c>
      <c r="AK161" s="74">
        <f t="shared" ref="AK161" si="87">SUM(AK151:AK152,AK160)</f>
        <v>1.4963734429329633E-8</v>
      </c>
      <c r="AL161" s="74">
        <f t="shared" ref="AL161" si="88">SUM(AL151:AL152,AL160)</f>
        <v>1.5562283806502819E-8</v>
      </c>
      <c r="AM161" s="74">
        <f t="shared" ref="AM161" si="89">SUM(AM151:AM152,AM160)</f>
        <v>1.6184775158762932E-8</v>
      </c>
    </row>
    <row r="162" spans="2:39" x14ac:dyDescent="0.25"/>
    <row r="163" spans="2:39" x14ac:dyDescent="0.25"/>
    <row r="164" spans="2:39" x14ac:dyDescent="0.25">
      <c r="B164" s="76" t="s">
        <v>62</v>
      </c>
      <c r="C164" s="76" t="str">
        <f>B81</f>
        <v>DCF Boekwaarde looptijd afschrijftermijn</v>
      </c>
      <c r="D164" s="76"/>
      <c r="E164" s="2"/>
    </row>
    <row r="165" spans="2:39" s="73" customFormat="1" x14ac:dyDescent="0.25">
      <c r="B165" s="72" t="s">
        <v>60</v>
      </c>
      <c r="C165" s="72"/>
      <c r="D165" s="72"/>
      <c r="E165" s="72"/>
      <c r="F165" s="74">
        <v>0</v>
      </c>
      <c r="G165" s="74">
        <f>F175</f>
        <v>-1200000</v>
      </c>
      <c r="H165" s="74">
        <f t="shared" ref="H165:AM165" si="90">G175</f>
        <v>-1185763.7728980039</v>
      </c>
      <c r="I165" s="74">
        <f t="shared" si="90"/>
        <v>-1170255.6733053981</v>
      </c>
      <c r="J165" s="74">
        <f t="shared" si="90"/>
        <v>-1153419.4676714602</v>
      </c>
      <c r="K165" s="74">
        <f t="shared" si="90"/>
        <v>-1135196.7087719224</v>
      </c>
      <c r="L165" s="74">
        <f t="shared" si="90"/>
        <v>-1115526.6502991428</v>
      </c>
      <c r="M165" s="74">
        <f t="shared" si="90"/>
        <v>-1094346.1581413066</v>
      </c>
      <c r="N165" s="74">
        <f t="shared" si="90"/>
        <v>-1071589.6182211104</v>
      </c>
      <c r="O165" s="74">
        <f t="shared" si="90"/>
        <v>-1047188.8407592725</v>
      </c>
      <c r="P165" s="74">
        <f t="shared" si="90"/>
        <v>-1021072.9608228991</v>
      </c>
      <c r="Q165" s="74">
        <f t="shared" si="90"/>
        <v>-993168.33501321857</v>
      </c>
      <c r="R165" s="74">
        <f t="shared" si="90"/>
        <v>-963398.43414144695</v>
      </c>
      <c r="S165" s="74">
        <f t="shared" si="90"/>
        <v>-931683.73173558561</v>
      </c>
      <c r="T165" s="74">
        <f t="shared" si="90"/>
        <v>-897941.58821474272</v>
      </c>
      <c r="U165" s="74">
        <f t="shared" si="90"/>
        <v>-862086.13056111708</v>
      </c>
      <c r="V165" s="74">
        <f t="shared" si="90"/>
        <v>-824028.12731307547</v>
      </c>
      <c r="W165" s="74">
        <f t="shared" si="90"/>
        <v>-783674.85869578097</v>
      </c>
      <c r="X165" s="74">
        <f t="shared" si="90"/>
        <v>-740929.9816985752</v>
      </c>
      <c r="Y165" s="74">
        <f t="shared" si="90"/>
        <v>-695693.3899007804</v>
      </c>
      <c r="Z165" s="74">
        <f t="shared" si="90"/>
        <v>-647861.06783974729</v>
      </c>
      <c r="AA165" s="74">
        <f t="shared" si="90"/>
        <v>-597324.93970682437</v>
      </c>
      <c r="AB165" s="74">
        <f t="shared" si="90"/>
        <v>-543972.71214845043</v>
      </c>
      <c r="AC165" s="74">
        <f t="shared" si="90"/>
        <v>-487687.71094076172</v>
      </c>
      <c r="AD165" s="74">
        <f t="shared" si="90"/>
        <v>-428348.71129694447</v>
      </c>
      <c r="AE165" s="74">
        <f t="shared" si="90"/>
        <v>-365829.76155703916</v>
      </c>
      <c r="AF165" s="91">
        <f t="shared" si="90"/>
        <v>4.765752237290144E-10</v>
      </c>
      <c r="AG165" s="91">
        <f t="shared" si="90"/>
        <v>4.9563823267817501E-10</v>
      </c>
      <c r="AH165" s="91">
        <f t="shared" si="90"/>
        <v>5.1546376198530202E-10</v>
      </c>
      <c r="AI165" s="91">
        <f t="shared" si="90"/>
        <v>5.3608231246471412E-10</v>
      </c>
      <c r="AJ165" s="91">
        <f t="shared" si="90"/>
        <v>5.5752560496330265E-10</v>
      </c>
      <c r="AK165" s="91">
        <f t="shared" si="90"/>
        <v>5.7982662916183477E-10</v>
      </c>
      <c r="AL165" s="91">
        <f t="shared" si="90"/>
        <v>6.0301969432830819E-10</v>
      </c>
      <c r="AM165" s="74">
        <f t="shared" si="90"/>
        <v>6.2714048210144049E-10</v>
      </c>
    </row>
    <row r="166" spans="2:39" s="73" customFormat="1" x14ac:dyDescent="0.25">
      <c r="B166" s="72" t="s">
        <v>59</v>
      </c>
      <c r="C166" s="72"/>
      <c r="D166" s="72"/>
      <c r="E166" s="72"/>
      <c r="F166" s="74">
        <v>0</v>
      </c>
      <c r="G166" s="74">
        <f t="shared" ref="G166:AM166" si="91">G104+G100</f>
        <v>62236.227101996017</v>
      </c>
      <c r="H166" s="74">
        <f t="shared" si="91"/>
        <v>62938.650508525971</v>
      </c>
      <c r="I166" s="74">
        <f t="shared" si="91"/>
        <v>63646.432566153875</v>
      </c>
      <c r="J166" s="74">
        <f t="shared" si="91"/>
        <v>64359.537606396196</v>
      </c>
      <c r="K166" s="74">
        <f t="shared" si="91"/>
        <v>65077.926823656526</v>
      </c>
      <c r="L166" s="74">
        <f t="shared" si="91"/>
        <v>65801.558169801952</v>
      </c>
      <c r="M166" s="74">
        <f t="shared" si="91"/>
        <v>66530.386245848465</v>
      </c>
      <c r="N166" s="74">
        <f t="shared" si="91"/>
        <v>67264.36219068247</v>
      </c>
      <c r="O166" s="74">
        <f t="shared" si="91"/>
        <v>68003.433566744206</v>
      </c>
      <c r="P166" s="74">
        <f t="shared" si="91"/>
        <v>68747.544242596457</v>
      </c>
      <c r="Q166" s="74">
        <f t="shared" si="91"/>
        <v>69496.634272300435</v>
      </c>
      <c r="R166" s="74">
        <f t="shared" si="91"/>
        <v>70250.639771519229</v>
      </c>
      <c r="S166" s="74">
        <f t="shared" si="91"/>
        <v>71009.492790266289</v>
      </c>
      <c r="T166" s="74">
        <f t="shared" si="91"/>
        <v>71773.1211822154</v>
      </c>
      <c r="U166" s="74">
        <f t="shared" si="91"/>
        <v>72541.448470486284</v>
      </c>
      <c r="V166" s="74">
        <f t="shared" si="91"/>
        <v>73314.393709817508</v>
      </c>
      <c r="W166" s="74">
        <f t="shared" si="91"/>
        <v>74091.871345037027</v>
      </c>
      <c r="X166" s="74">
        <f t="shared" si="91"/>
        <v>74873.791065737838</v>
      </c>
      <c r="Y166" s="74">
        <f t="shared" si="91"/>
        <v>75660.057657064332</v>
      </c>
      <c r="Z166" s="74">
        <f t="shared" si="91"/>
        <v>76450.570846512797</v>
      </c>
      <c r="AA166" s="74">
        <f t="shared" si="91"/>
        <v>77245.225146646902</v>
      </c>
      <c r="AB166" s="74">
        <f t="shared" si="91"/>
        <v>78043.909693626745</v>
      </c>
      <c r="AC166" s="74">
        <f t="shared" si="91"/>
        <v>78846.508081447726</v>
      </c>
      <c r="AD166" s="74">
        <f t="shared" si="91"/>
        <v>79652.898191783126</v>
      </c>
      <c r="AE166" s="74">
        <f t="shared" si="91"/>
        <v>380462.95201932121</v>
      </c>
      <c r="AF166" s="91">
        <f t="shared" si="91"/>
        <v>0</v>
      </c>
      <c r="AG166" s="91">
        <f t="shared" si="91"/>
        <v>0</v>
      </c>
      <c r="AH166" s="91">
        <f t="shared" si="91"/>
        <v>0</v>
      </c>
      <c r="AI166" s="91">
        <f t="shared" si="91"/>
        <v>0</v>
      </c>
      <c r="AJ166" s="91">
        <f t="shared" si="91"/>
        <v>0</v>
      </c>
      <c r="AK166" s="91">
        <f t="shared" si="91"/>
        <v>0</v>
      </c>
      <c r="AL166" s="91">
        <f t="shared" si="91"/>
        <v>0</v>
      </c>
      <c r="AM166" s="74">
        <f t="shared" si="91"/>
        <v>0</v>
      </c>
    </row>
    <row r="167" spans="2:39" s="73" customFormat="1" x14ac:dyDescent="0.25">
      <c r="B167" s="72" t="s">
        <v>0</v>
      </c>
      <c r="C167" s="72"/>
      <c r="D167" s="72"/>
      <c r="E167" s="72"/>
      <c r="F167" s="74">
        <f t="shared" ref="F167:AM167" si="92">F91</f>
        <v>-1200000</v>
      </c>
      <c r="G167" s="74">
        <f t="shared" si="92"/>
        <v>0</v>
      </c>
      <c r="H167" s="74">
        <f t="shared" si="92"/>
        <v>0</v>
      </c>
      <c r="I167" s="74">
        <f t="shared" si="92"/>
        <v>0</v>
      </c>
      <c r="J167" s="74">
        <f t="shared" si="92"/>
        <v>0</v>
      </c>
      <c r="K167" s="74">
        <f t="shared" si="92"/>
        <v>0</v>
      </c>
      <c r="L167" s="74">
        <f t="shared" si="92"/>
        <v>0</v>
      </c>
      <c r="M167" s="74">
        <f t="shared" si="92"/>
        <v>0</v>
      </c>
      <c r="N167" s="74">
        <f t="shared" si="92"/>
        <v>0</v>
      </c>
      <c r="O167" s="74">
        <f t="shared" si="92"/>
        <v>0</v>
      </c>
      <c r="P167" s="74">
        <f t="shared" si="92"/>
        <v>0</v>
      </c>
      <c r="Q167" s="74">
        <f t="shared" si="92"/>
        <v>0</v>
      </c>
      <c r="R167" s="74">
        <f t="shared" si="92"/>
        <v>0</v>
      </c>
      <c r="S167" s="74">
        <f t="shared" si="92"/>
        <v>0</v>
      </c>
      <c r="T167" s="74">
        <f t="shared" si="92"/>
        <v>0</v>
      </c>
      <c r="U167" s="74">
        <f t="shared" si="92"/>
        <v>0</v>
      </c>
      <c r="V167" s="74">
        <f t="shared" si="92"/>
        <v>0</v>
      </c>
      <c r="W167" s="74">
        <f t="shared" si="92"/>
        <v>0</v>
      </c>
      <c r="X167" s="74">
        <f t="shared" si="92"/>
        <v>0</v>
      </c>
      <c r="Y167" s="74">
        <f t="shared" si="92"/>
        <v>0</v>
      </c>
      <c r="Z167" s="74">
        <f t="shared" si="92"/>
        <v>0</v>
      </c>
      <c r="AA167" s="74">
        <f t="shared" si="92"/>
        <v>0</v>
      </c>
      <c r="AB167" s="74">
        <f t="shared" si="92"/>
        <v>0</v>
      </c>
      <c r="AC167" s="74">
        <f t="shared" si="92"/>
        <v>0</v>
      </c>
      <c r="AD167" s="74">
        <f t="shared" si="92"/>
        <v>0</v>
      </c>
      <c r="AE167" s="74">
        <f t="shared" si="92"/>
        <v>0</v>
      </c>
      <c r="AF167" s="91">
        <f t="shared" si="92"/>
        <v>0</v>
      </c>
      <c r="AG167" s="91">
        <f t="shared" si="92"/>
        <v>0</v>
      </c>
      <c r="AH167" s="91">
        <f t="shared" si="92"/>
        <v>0</v>
      </c>
      <c r="AI167" s="91">
        <f t="shared" si="92"/>
        <v>0</v>
      </c>
      <c r="AJ167" s="91">
        <f t="shared" si="92"/>
        <v>0</v>
      </c>
      <c r="AK167" s="91">
        <f t="shared" si="92"/>
        <v>0</v>
      </c>
      <c r="AL167" s="92">
        <f t="shared" si="92"/>
        <v>0</v>
      </c>
      <c r="AM167" s="74">
        <f t="shared" si="92"/>
        <v>0</v>
      </c>
    </row>
    <row r="168" spans="2:39" s="73" customFormat="1" x14ac:dyDescent="0.25">
      <c r="B168" s="72" t="s">
        <v>55</v>
      </c>
      <c r="C168" s="72"/>
      <c r="D168" s="72"/>
      <c r="E168" s="72"/>
      <c r="F168" s="74">
        <f t="shared" ref="F168:AM168" si="93">F92</f>
        <v>0</v>
      </c>
      <c r="G168" s="74">
        <f t="shared" si="93"/>
        <v>-24000</v>
      </c>
      <c r="H168" s="74">
        <f t="shared" si="93"/>
        <v>-24540</v>
      </c>
      <c r="I168" s="74">
        <f t="shared" si="93"/>
        <v>-25092.149999999998</v>
      </c>
      <c r="J168" s="74">
        <f t="shared" si="93"/>
        <v>-25656.723374999998</v>
      </c>
      <c r="K168" s="74">
        <f t="shared" si="93"/>
        <v>-26233.999650937498</v>
      </c>
      <c r="L168" s="74">
        <f t="shared" si="93"/>
        <v>-26824.264643083592</v>
      </c>
      <c r="M168" s="74">
        <f t="shared" si="93"/>
        <v>-27427.810597552972</v>
      </c>
      <c r="N168" s="74">
        <f t="shared" si="93"/>
        <v>-28044.936335997914</v>
      </c>
      <c r="O168" s="74">
        <f t="shared" si="93"/>
        <v>-28675.947403557868</v>
      </c>
      <c r="P168" s="74">
        <f t="shared" si="93"/>
        <v>-29321.15622013792</v>
      </c>
      <c r="Q168" s="74">
        <f t="shared" si="93"/>
        <v>-29980.882235091023</v>
      </c>
      <c r="R168" s="74">
        <f t="shared" si="93"/>
        <v>-30655.45208538057</v>
      </c>
      <c r="S168" s="74">
        <f t="shared" si="93"/>
        <v>-31345.199757301631</v>
      </c>
      <c r="T168" s="74">
        <f t="shared" si="93"/>
        <v>-32050.466751840915</v>
      </c>
      <c r="U168" s="74">
        <f t="shared" si="93"/>
        <v>-32771.602253757337</v>
      </c>
      <c r="V168" s="74">
        <f t="shared" si="93"/>
        <v>-33508.963304466874</v>
      </c>
      <c r="W168" s="74">
        <f t="shared" si="93"/>
        <v>-34262.914978817375</v>
      </c>
      <c r="X168" s="74">
        <f t="shared" si="93"/>
        <v>-35033.830565840763</v>
      </c>
      <c r="Y168" s="74">
        <f t="shared" si="93"/>
        <v>-35822.091753572182</v>
      </c>
      <c r="Z168" s="74">
        <f t="shared" si="93"/>
        <v>-36628.088818027558</v>
      </c>
      <c r="AA168" s="74">
        <f t="shared" si="93"/>
        <v>-37452.220816433175</v>
      </c>
      <c r="AB168" s="74">
        <f t="shared" si="93"/>
        <v>-38294.895784802917</v>
      </c>
      <c r="AC168" s="74">
        <f t="shared" si="93"/>
        <v>-39156.530939960983</v>
      </c>
      <c r="AD168" s="74">
        <f t="shared" si="93"/>
        <v>-40037.552886110105</v>
      </c>
      <c r="AE168" s="74">
        <f t="shared" si="93"/>
        <v>-40938.397826047578</v>
      </c>
      <c r="AF168" s="91">
        <f t="shared" si="93"/>
        <v>0</v>
      </c>
      <c r="AG168" s="91">
        <f t="shared" si="93"/>
        <v>0</v>
      </c>
      <c r="AH168" s="91">
        <f t="shared" si="93"/>
        <v>0</v>
      </c>
      <c r="AI168" s="91">
        <f t="shared" si="93"/>
        <v>0</v>
      </c>
      <c r="AJ168" s="91">
        <f t="shared" si="93"/>
        <v>0</v>
      </c>
      <c r="AK168" s="91">
        <f t="shared" si="93"/>
        <v>0</v>
      </c>
      <c r="AL168" s="91">
        <f t="shared" si="93"/>
        <v>0</v>
      </c>
      <c r="AM168" s="74">
        <f t="shared" si="93"/>
        <v>0</v>
      </c>
    </row>
    <row r="169" spans="2:39" s="73" customFormat="1" x14ac:dyDescent="0.25">
      <c r="B169" s="72" t="s">
        <v>10</v>
      </c>
      <c r="C169" s="72"/>
      <c r="D169" s="72"/>
      <c r="E169" s="72"/>
      <c r="F169" s="74">
        <f t="shared" ref="F169:AM169" si="94">F93</f>
        <v>0</v>
      </c>
      <c r="G169" s="74">
        <f t="shared" si="94"/>
        <v>-1800</v>
      </c>
      <c r="H169" s="74">
        <f t="shared" si="94"/>
        <v>-1836</v>
      </c>
      <c r="I169" s="74">
        <f t="shared" si="94"/>
        <v>-1872.72</v>
      </c>
      <c r="J169" s="74">
        <f t="shared" si="94"/>
        <v>-1910.1744000000001</v>
      </c>
      <c r="K169" s="74">
        <f t="shared" si="94"/>
        <v>-1948.3778880000002</v>
      </c>
      <c r="L169" s="74">
        <f t="shared" si="94"/>
        <v>-1987.3454457600003</v>
      </c>
      <c r="M169" s="74">
        <f t="shared" si="94"/>
        <v>-2027.0923546752003</v>
      </c>
      <c r="N169" s="74">
        <f t="shared" si="94"/>
        <v>-2067.6342017687043</v>
      </c>
      <c r="O169" s="74">
        <f t="shared" si="94"/>
        <v>-2108.9868858040786</v>
      </c>
      <c r="P169" s="74">
        <f t="shared" si="94"/>
        <v>-2151.1666235201601</v>
      </c>
      <c r="Q169" s="74">
        <f t="shared" si="94"/>
        <v>-2194.1899559905632</v>
      </c>
      <c r="R169" s="74">
        <f t="shared" si="94"/>
        <v>-2238.0737551103743</v>
      </c>
      <c r="S169" s="74">
        <f t="shared" si="94"/>
        <v>-2282.8352302125818</v>
      </c>
      <c r="T169" s="74">
        <f t="shared" si="94"/>
        <v>-2328.4919348168337</v>
      </c>
      <c r="U169" s="74">
        <f t="shared" si="94"/>
        <v>-2375.0617735131705</v>
      </c>
      <c r="V169" s="74">
        <f t="shared" si="94"/>
        <v>-2422.563008983434</v>
      </c>
      <c r="W169" s="74">
        <f t="shared" si="94"/>
        <v>-2471.0142691631027</v>
      </c>
      <c r="X169" s="74">
        <f t="shared" si="94"/>
        <v>-2520.4345545463648</v>
      </c>
      <c r="Y169" s="74">
        <f t="shared" si="94"/>
        <v>-2570.8432456372921</v>
      </c>
      <c r="Z169" s="74">
        <f t="shared" si="94"/>
        <v>-2622.260110550038</v>
      </c>
      <c r="AA169" s="74">
        <f t="shared" si="94"/>
        <v>-2674.7053127610388</v>
      </c>
      <c r="AB169" s="74">
        <f t="shared" si="94"/>
        <v>-2728.1994190162595</v>
      </c>
      <c r="AC169" s="74">
        <f t="shared" si="94"/>
        <v>-2782.7634073965846</v>
      </c>
      <c r="AD169" s="74">
        <f t="shared" si="94"/>
        <v>-2838.4186755445162</v>
      </c>
      <c r="AE169" s="74">
        <f t="shared" si="94"/>
        <v>-2895.1870490554065</v>
      </c>
      <c r="AF169" s="91">
        <f t="shared" si="94"/>
        <v>0</v>
      </c>
      <c r="AG169" s="91">
        <f t="shared" si="94"/>
        <v>0</v>
      </c>
      <c r="AH169" s="91">
        <f t="shared" si="94"/>
        <v>0</v>
      </c>
      <c r="AI169" s="91">
        <f t="shared" si="94"/>
        <v>0</v>
      </c>
      <c r="AJ169" s="91">
        <f t="shared" si="94"/>
        <v>0</v>
      </c>
      <c r="AK169" s="91">
        <f t="shared" si="94"/>
        <v>0</v>
      </c>
      <c r="AL169" s="91">
        <f t="shared" si="94"/>
        <v>0</v>
      </c>
      <c r="AM169" s="74">
        <f t="shared" si="94"/>
        <v>0</v>
      </c>
    </row>
    <row r="170" spans="2:39" s="73" customFormat="1" x14ac:dyDescent="0.25">
      <c r="B170" s="72" t="s">
        <v>11</v>
      </c>
      <c r="C170" s="72"/>
      <c r="D170" s="72"/>
      <c r="E170" s="72"/>
      <c r="F170" s="74">
        <f t="shared" ref="F170:AM170" si="95">F94</f>
        <v>0</v>
      </c>
      <c r="G170" s="74">
        <f t="shared" si="95"/>
        <v>-3600</v>
      </c>
      <c r="H170" s="74">
        <f t="shared" si="95"/>
        <v>-3681</v>
      </c>
      <c r="I170" s="74">
        <f t="shared" si="95"/>
        <v>-3763.8224999999998</v>
      </c>
      <c r="J170" s="74">
        <f t="shared" si="95"/>
        <v>-3848.5085062499998</v>
      </c>
      <c r="K170" s="74">
        <f t="shared" si="95"/>
        <v>-3935.0999476406246</v>
      </c>
      <c r="L170" s="74">
        <f t="shared" si="95"/>
        <v>-4023.6396964625383</v>
      </c>
      <c r="M170" s="74">
        <f t="shared" si="95"/>
        <v>-4114.1715896329451</v>
      </c>
      <c r="N170" s="74">
        <f t="shared" si="95"/>
        <v>-4206.7404503996859</v>
      </c>
      <c r="O170" s="74">
        <f t="shared" si="95"/>
        <v>-4301.3921105336785</v>
      </c>
      <c r="P170" s="74">
        <f t="shared" si="95"/>
        <v>-4398.1734330206864</v>
      </c>
      <c r="Q170" s="74">
        <f t="shared" si="95"/>
        <v>-4497.1323352636518</v>
      </c>
      <c r="R170" s="74">
        <f t="shared" si="95"/>
        <v>-4598.317812807084</v>
      </c>
      <c r="S170" s="74">
        <f t="shared" si="95"/>
        <v>-4701.7799635952433</v>
      </c>
      <c r="T170" s="74">
        <f t="shared" si="95"/>
        <v>-4807.5700127761365</v>
      </c>
      <c r="U170" s="74">
        <f t="shared" si="95"/>
        <v>-4915.7403380635997</v>
      </c>
      <c r="V170" s="74">
        <f t="shared" si="95"/>
        <v>-5026.3444956700305</v>
      </c>
      <c r="W170" s="74">
        <f t="shared" si="95"/>
        <v>-5139.4372468226056</v>
      </c>
      <c r="X170" s="74">
        <f t="shared" si="95"/>
        <v>-5255.0745848761144</v>
      </c>
      <c r="Y170" s="74">
        <f t="shared" si="95"/>
        <v>-5373.3137630358269</v>
      </c>
      <c r="Z170" s="74">
        <f t="shared" si="95"/>
        <v>-5494.2133227041331</v>
      </c>
      <c r="AA170" s="74">
        <f t="shared" si="95"/>
        <v>-5617.8331224649755</v>
      </c>
      <c r="AB170" s="74">
        <f t="shared" si="95"/>
        <v>-5744.2343677204371</v>
      </c>
      <c r="AC170" s="74">
        <f t="shared" si="95"/>
        <v>-5873.4796409941464</v>
      </c>
      <c r="AD170" s="74">
        <f t="shared" si="95"/>
        <v>-6005.6329329165146</v>
      </c>
      <c r="AE170" s="74">
        <f t="shared" si="95"/>
        <v>-6140.7596739071359</v>
      </c>
      <c r="AF170" s="91">
        <f t="shared" si="95"/>
        <v>0</v>
      </c>
      <c r="AG170" s="91">
        <f t="shared" si="95"/>
        <v>0</v>
      </c>
      <c r="AH170" s="91">
        <f t="shared" si="95"/>
        <v>0</v>
      </c>
      <c r="AI170" s="91">
        <f t="shared" si="95"/>
        <v>0</v>
      </c>
      <c r="AJ170" s="91">
        <f t="shared" si="95"/>
        <v>0</v>
      </c>
      <c r="AK170" s="91">
        <f t="shared" si="95"/>
        <v>0</v>
      </c>
      <c r="AL170" s="92">
        <f t="shared" si="95"/>
        <v>0</v>
      </c>
      <c r="AM170" s="74">
        <f t="shared" si="95"/>
        <v>0</v>
      </c>
    </row>
    <row r="171" spans="2:39" s="73" customFormat="1" x14ac:dyDescent="0.25">
      <c r="B171" s="72" t="s">
        <v>24</v>
      </c>
      <c r="C171" s="72"/>
      <c r="D171" s="72"/>
      <c r="E171" s="72"/>
      <c r="F171" s="74">
        <f t="shared" ref="F171:AM171" si="96">F95</f>
        <v>0</v>
      </c>
      <c r="G171" s="74">
        <f t="shared" si="96"/>
        <v>-2016</v>
      </c>
      <c r="H171" s="74">
        <f t="shared" si="96"/>
        <v>-2061.36</v>
      </c>
      <c r="I171" s="74">
        <f t="shared" si="96"/>
        <v>-2107.7406000000001</v>
      </c>
      <c r="J171" s="74">
        <f t="shared" si="96"/>
        <v>-2155.1647634999999</v>
      </c>
      <c r="K171" s="74">
        <f t="shared" si="96"/>
        <v>-2203.6559706787498</v>
      </c>
      <c r="L171" s="74">
        <f t="shared" si="96"/>
        <v>-2253.2382300190216</v>
      </c>
      <c r="M171" s="74">
        <f t="shared" si="96"/>
        <v>-2303.9360901944497</v>
      </c>
      <c r="N171" s="74">
        <f t="shared" si="96"/>
        <v>-2355.7746522238249</v>
      </c>
      <c r="O171" s="74">
        <f t="shared" si="96"/>
        <v>-2408.7795818988611</v>
      </c>
      <c r="P171" s="74">
        <f t="shared" si="96"/>
        <v>-2462.9771224915853</v>
      </c>
      <c r="Q171" s="74">
        <f t="shared" si="96"/>
        <v>-2518.3941077476461</v>
      </c>
      <c r="R171" s="74">
        <f t="shared" si="96"/>
        <v>-2575.0579751719679</v>
      </c>
      <c r="S171" s="74">
        <f t="shared" si="96"/>
        <v>-2632.9967796133369</v>
      </c>
      <c r="T171" s="74">
        <f t="shared" si="96"/>
        <v>-2692.2392071546369</v>
      </c>
      <c r="U171" s="74">
        <f t="shared" si="96"/>
        <v>-2752.8145893156161</v>
      </c>
      <c r="V171" s="74">
        <f t="shared" si="96"/>
        <v>-2814.7529175752175</v>
      </c>
      <c r="W171" s="74">
        <f t="shared" si="96"/>
        <v>-2878.0848582206595</v>
      </c>
      <c r="X171" s="74">
        <f t="shared" si="96"/>
        <v>-2942.8417675306241</v>
      </c>
      <c r="Y171" s="74">
        <f t="shared" si="96"/>
        <v>-3009.0557073000637</v>
      </c>
      <c r="Z171" s="74">
        <f t="shared" si="96"/>
        <v>-3076.7594607143146</v>
      </c>
      <c r="AA171" s="74">
        <f t="shared" si="96"/>
        <v>-3145.9865485803866</v>
      </c>
      <c r="AB171" s="74">
        <f t="shared" si="96"/>
        <v>-3216.7712459234449</v>
      </c>
      <c r="AC171" s="74">
        <f t="shared" si="96"/>
        <v>-3289.1485989567227</v>
      </c>
      <c r="AD171" s="74">
        <f t="shared" si="96"/>
        <v>-3363.1544424332492</v>
      </c>
      <c r="AE171" s="74">
        <f t="shared" si="96"/>
        <v>-3438.8254173879964</v>
      </c>
      <c r="AF171" s="91">
        <f t="shared" si="96"/>
        <v>0</v>
      </c>
      <c r="AG171" s="91">
        <f t="shared" si="96"/>
        <v>0</v>
      </c>
      <c r="AH171" s="91">
        <f t="shared" si="96"/>
        <v>0</v>
      </c>
      <c r="AI171" s="91">
        <f t="shared" si="96"/>
        <v>0</v>
      </c>
      <c r="AJ171" s="91">
        <f t="shared" si="96"/>
        <v>0</v>
      </c>
      <c r="AK171" s="91">
        <f t="shared" si="96"/>
        <v>0</v>
      </c>
      <c r="AL171" s="91">
        <f t="shared" si="96"/>
        <v>0</v>
      </c>
      <c r="AM171" s="74">
        <f t="shared" si="96"/>
        <v>0</v>
      </c>
    </row>
    <row r="172" spans="2:39" s="73" customFormat="1" x14ac:dyDescent="0.25">
      <c r="B172" s="72" t="s">
        <v>14</v>
      </c>
      <c r="C172" s="72"/>
      <c r="D172" s="72"/>
      <c r="E172" s="72"/>
      <c r="F172" s="74">
        <f t="shared" ref="F172:AL172" si="97">F98</f>
        <v>0</v>
      </c>
      <c r="G172" s="74">
        <f t="shared" si="97"/>
        <v>0</v>
      </c>
      <c r="H172" s="74">
        <f t="shared" si="97"/>
        <v>0</v>
      </c>
      <c r="I172" s="74">
        <f t="shared" si="97"/>
        <v>0</v>
      </c>
      <c r="J172" s="74">
        <f t="shared" si="97"/>
        <v>0</v>
      </c>
      <c r="K172" s="74">
        <f t="shared" si="97"/>
        <v>0</v>
      </c>
      <c r="L172" s="74">
        <f t="shared" si="97"/>
        <v>0</v>
      </c>
      <c r="M172" s="74">
        <f t="shared" si="97"/>
        <v>0</v>
      </c>
      <c r="N172" s="74">
        <f t="shared" si="97"/>
        <v>0</v>
      </c>
      <c r="O172" s="74">
        <f t="shared" si="97"/>
        <v>0</v>
      </c>
      <c r="P172" s="74">
        <f t="shared" si="97"/>
        <v>0</v>
      </c>
      <c r="Q172" s="74">
        <f t="shared" si="97"/>
        <v>0</v>
      </c>
      <c r="R172" s="74">
        <f t="shared" si="97"/>
        <v>0</v>
      </c>
      <c r="S172" s="74">
        <f t="shared" si="97"/>
        <v>0</v>
      </c>
      <c r="T172" s="74">
        <f t="shared" si="97"/>
        <v>0</v>
      </c>
      <c r="U172" s="74">
        <f t="shared" si="97"/>
        <v>0</v>
      </c>
      <c r="V172" s="74">
        <f t="shared" si="97"/>
        <v>0</v>
      </c>
      <c r="W172" s="74">
        <f t="shared" si="97"/>
        <v>0</v>
      </c>
      <c r="X172" s="74">
        <f t="shared" si="97"/>
        <v>0</v>
      </c>
      <c r="Y172" s="74">
        <f t="shared" si="97"/>
        <v>0</v>
      </c>
      <c r="Z172" s="74">
        <f t="shared" si="97"/>
        <v>0</v>
      </c>
      <c r="AA172" s="74">
        <f t="shared" si="97"/>
        <v>0</v>
      </c>
      <c r="AB172" s="74">
        <f t="shared" si="97"/>
        <v>0</v>
      </c>
      <c r="AC172" s="74">
        <f t="shared" si="97"/>
        <v>0</v>
      </c>
      <c r="AD172" s="74">
        <f t="shared" si="97"/>
        <v>0</v>
      </c>
      <c r="AE172" s="74">
        <f t="shared" si="97"/>
        <v>300000</v>
      </c>
      <c r="AF172" s="91">
        <f t="shared" si="97"/>
        <v>0</v>
      </c>
      <c r="AG172" s="91">
        <f t="shared" si="97"/>
        <v>0</v>
      </c>
      <c r="AH172" s="91">
        <f t="shared" si="97"/>
        <v>0</v>
      </c>
      <c r="AI172" s="91">
        <f t="shared" si="97"/>
        <v>0</v>
      </c>
      <c r="AJ172" s="91">
        <f t="shared" si="97"/>
        <v>0</v>
      </c>
      <c r="AK172" s="91">
        <f t="shared" si="97"/>
        <v>0</v>
      </c>
      <c r="AL172" s="91">
        <f t="shared" si="97"/>
        <v>0</v>
      </c>
      <c r="AM172" s="74"/>
    </row>
    <row r="173" spans="2:39" s="73" customFormat="1" x14ac:dyDescent="0.25">
      <c r="B173" s="72" t="s">
        <v>57</v>
      </c>
      <c r="C173" s="72"/>
      <c r="D173" s="72"/>
      <c r="E173" s="72"/>
      <c r="F173" s="74">
        <f t="shared" ref="F173:AM173" si="98">F104</f>
        <v>0</v>
      </c>
      <c r="G173" s="74">
        <f t="shared" si="98"/>
        <v>93652.227101996017</v>
      </c>
      <c r="H173" s="74">
        <f t="shared" si="98"/>
        <v>95057.010508525971</v>
      </c>
      <c r="I173" s="74">
        <f t="shared" si="98"/>
        <v>96482.86566615387</v>
      </c>
      <c r="J173" s="74">
        <f t="shared" si="98"/>
        <v>97930.108651146191</v>
      </c>
      <c r="K173" s="74">
        <f t="shared" si="98"/>
        <v>99399.0602809134</v>
      </c>
      <c r="L173" s="74">
        <f t="shared" si="98"/>
        <v>100890.04618512711</v>
      </c>
      <c r="M173" s="74">
        <f t="shared" si="98"/>
        <v>102403.39687790403</v>
      </c>
      <c r="N173" s="74">
        <f t="shared" si="98"/>
        <v>103939.4478310726</v>
      </c>
      <c r="O173" s="74">
        <f t="shared" si="98"/>
        <v>105498.5395485387</v>
      </c>
      <c r="P173" s="74">
        <f t="shared" si="98"/>
        <v>107081.0176417668</v>
      </c>
      <c r="Q173" s="74">
        <f t="shared" si="98"/>
        <v>108687.23290639331</v>
      </c>
      <c r="R173" s="74">
        <f t="shared" si="98"/>
        <v>110317.54139998923</v>
      </c>
      <c r="S173" s="74">
        <f t="shared" si="98"/>
        <v>111972.30452098908</v>
      </c>
      <c r="T173" s="74">
        <f t="shared" si="98"/>
        <v>113651.88908880393</v>
      </c>
      <c r="U173" s="74">
        <f t="shared" si="98"/>
        <v>115356.66742513601</v>
      </c>
      <c r="V173" s="74">
        <f t="shared" si="98"/>
        <v>117087.01743651307</v>
      </c>
      <c r="W173" s="74">
        <f t="shared" si="98"/>
        <v>118843.32269806077</v>
      </c>
      <c r="X173" s="74">
        <f t="shared" si="98"/>
        <v>120625.9725385317</v>
      </c>
      <c r="Y173" s="74">
        <f t="shared" si="98"/>
        <v>122435.36212660969</v>
      </c>
      <c r="Z173" s="74">
        <f t="shared" si="98"/>
        <v>124271.89255850884</v>
      </c>
      <c r="AA173" s="74">
        <f t="shared" si="98"/>
        <v>126135.97094688649</v>
      </c>
      <c r="AB173" s="74">
        <f t="shared" si="98"/>
        <v>128028.0105110898</v>
      </c>
      <c r="AC173" s="74">
        <f t="shared" si="98"/>
        <v>129948.43066875616</v>
      </c>
      <c r="AD173" s="74">
        <f t="shared" si="98"/>
        <v>131897.65712878751</v>
      </c>
      <c r="AE173" s="74">
        <f t="shared" si="98"/>
        <v>133876.12198571934</v>
      </c>
      <c r="AF173" s="91">
        <f t="shared" si="98"/>
        <v>0</v>
      </c>
      <c r="AG173" s="91">
        <f t="shared" si="98"/>
        <v>0</v>
      </c>
      <c r="AH173" s="91">
        <f t="shared" si="98"/>
        <v>0</v>
      </c>
      <c r="AI173" s="91">
        <f t="shared" si="98"/>
        <v>0</v>
      </c>
      <c r="AJ173" s="91">
        <f t="shared" si="98"/>
        <v>0</v>
      </c>
      <c r="AK173" s="91">
        <f t="shared" si="98"/>
        <v>0</v>
      </c>
      <c r="AL173" s="92">
        <f t="shared" si="98"/>
        <v>0</v>
      </c>
      <c r="AM173" s="74">
        <f t="shared" si="98"/>
        <v>0</v>
      </c>
    </row>
    <row r="174" spans="2:39" s="73" customFormat="1" x14ac:dyDescent="0.25">
      <c r="B174" s="72" t="s">
        <v>8</v>
      </c>
      <c r="C174" s="72"/>
      <c r="D174" s="72"/>
      <c r="E174" s="72"/>
      <c r="F174" s="74">
        <v>0</v>
      </c>
      <c r="G174" s="74">
        <f>G165*$C$13</f>
        <v>-48000</v>
      </c>
      <c r="H174" s="74">
        <f t="shared" ref="H174:AM174" si="99">H165*$C$13</f>
        <v>-47430.550915920161</v>
      </c>
      <c r="I174" s="74">
        <f t="shared" si="99"/>
        <v>-46810.226932215926</v>
      </c>
      <c r="J174" s="74">
        <f t="shared" si="99"/>
        <v>-46136.778706858408</v>
      </c>
      <c r="K174" s="74">
        <f t="shared" si="99"/>
        <v>-45407.868350876895</v>
      </c>
      <c r="L174" s="74">
        <f t="shared" si="99"/>
        <v>-44621.066011965711</v>
      </c>
      <c r="M174" s="74">
        <f t="shared" si="99"/>
        <v>-43773.846325652266</v>
      </c>
      <c r="N174" s="74">
        <f t="shared" si="99"/>
        <v>-42863.58472884442</v>
      </c>
      <c r="O174" s="74">
        <f t="shared" si="99"/>
        <v>-41887.553630370901</v>
      </c>
      <c r="P174" s="74">
        <f t="shared" si="99"/>
        <v>-40842.918432915969</v>
      </c>
      <c r="Q174" s="74">
        <f t="shared" si="99"/>
        <v>-39726.733400528741</v>
      </c>
      <c r="R174" s="74">
        <f t="shared" si="99"/>
        <v>-38535.937365657875</v>
      </c>
      <c r="S174" s="74">
        <f t="shared" si="99"/>
        <v>-37267.349269423423</v>
      </c>
      <c r="T174" s="74">
        <f t="shared" si="99"/>
        <v>-35917.663528589706</v>
      </c>
      <c r="U174" s="74">
        <f t="shared" si="99"/>
        <v>-34483.445222444687</v>
      </c>
      <c r="V174" s="74">
        <f t="shared" si="99"/>
        <v>-32961.12509252302</v>
      </c>
      <c r="W174" s="74">
        <f t="shared" si="99"/>
        <v>-31346.994347831238</v>
      </c>
      <c r="X174" s="74">
        <f t="shared" si="99"/>
        <v>-29637.199267943008</v>
      </c>
      <c r="Y174" s="74">
        <f t="shared" si="99"/>
        <v>-27827.735596031216</v>
      </c>
      <c r="Z174" s="74">
        <f t="shared" si="99"/>
        <v>-25914.442713589891</v>
      </c>
      <c r="AA174" s="74">
        <f t="shared" si="99"/>
        <v>-23892.997588272974</v>
      </c>
      <c r="AB174" s="74">
        <f t="shared" si="99"/>
        <v>-21758.908485938016</v>
      </c>
      <c r="AC174" s="74">
        <f t="shared" si="99"/>
        <v>-19507.508437630469</v>
      </c>
      <c r="AD174" s="74">
        <f t="shared" si="99"/>
        <v>-17133.948451877779</v>
      </c>
      <c r="AE174" s="74">
        <f t="shared" si="99"/>
        <v>-14633.190462281567</v>
      </c>
      <c r="AF174" s="91">
        <f t="shared" si="99"/>
        <v>1.9063008949160577E-11</v>
      </c>
      <c r="AG174" s="91">
        <f t="shared" si="99"/>
        <v>1.9825529307127E-11</v>
      </c>
      <c r="AH174" s="91">
        <f t="shared" si="99"/>
        <v>2.0618550479412081E-11</v>
      </c>
      <c r="AI174" s="91">
        <f t="shared" si="99"/>
        <v>2.1443292498588565E-11</v>
      </c>
      <c r="AJ174" s="91">
        <f t="shared" si="99"/>
        <v>2.2301024198532106E-11</v>
      </c>
      <c r="AK174" s="91">
        <f t="shared" si="99"/>
        <v>2.3193065166473392E-11</v>
      </c>
      <c r="AL174" s="91">
        <f t="shared" si="99"/>
        <v>2.4120787773132329E-11</v>
      </c>
      <c r="AM174" s="74">
        <f t="shared" si="99"/>
        <v>2.5085619284057621E-11</v>
      </c>
    </row>
    <row r="175" spans="2:39" s="73" customFormat="1" x14ac:dyDescent="0.25">
      <c r="B175" s="72" t="s">
        <v>61</v>
      </c>
      <c r="C175" s="72"/>
      <c r="D175" s="72"/>
      <c r="E175" s="72"/>
      <c r="F175" s="74">
        <f>F100</f>
        <v>-1200000</v>
      </c>
      <c r="G175" s="74">
        <f t="shared" ref="G175:AM175" si="100">SUM(G165:G166,G174)</f>
        <v>-1185763.7728980039</v>
      </c>
      <c r="H175" s="74">
        <f t="shared" si="100"/>
        <v>-1170255.6733053981</v>
      </c>
      <c r="I175" s="74">
        <f t="shared" si="100"/>
        <v>-1153419.4676714602</v>
      </c>
      <c r="J175" s="74">
        <f t="shared" si="100"/>
        <v>-1135196.7087719224</v>
      </c>
      <c r="K175" s="74">
        <f t="shared" si="100"/>
        <v>-1115526.6502991428</v>
      </c>
      <c r="L175" s="74">
        <f t="shared" si="100"/>
        <v>-1094346.1581413066</v>
      </c>
      <c r="M175" s="74">
        <f t="shared" si="100"/>
        <v>-1071589.6182211104</v>
      </c>
      <c r="N175" s="74">
        <f t="shared" si="100"/>
        <v>-1047188.8407592725</v>
      </c>
      <c r="O175" s="74">
        <f t="shared" si="100"/>
        <v>-1021072.9608228991</v>
      </c>
      <c r="P175" s="74">
        <f t="shared" si="100"/>
        <v>-993168.33501321857</v>
      </c>
      <c r="Q175" s="74">
        <f t="shared" si="100"/>
        <v>-963398.43414144695</v>
      </c>
      <c r="R175" s="74">
        <f t="shared" si="100"/>
        <v>-931683.73173558561</v>
      </c>
      <c r="S175" s="74">
        <f t="shared" si="100"/>
        <v>-897941.58821474272</v>
      </c>
      <c r="T175" s="74">
        <f t="shared" si="100"/>
        <v>-862086.13056111708</v>
      </c>
      <c r="U175" s="74">
        <f t="shared" si="100"/>
        <v>-824028.12731307547</v>
      </c>
      <c r="V175" s="74">
        <f t="shared" si="100"/>
        <v>-783674.85869578097</v>
      </c>
      <c r="W175" s="74">
        <f t="shared" si="100"/>
        <v>-740929.9816985752</v>
      </c>
      <c r="X175" s="74">
        <f t="shared" si="100"/>
        <v>-695693.3899007804</v>
      </c>
      <c r="Y175" s="74">
        <f t="shared" si="100"/>
        <v>-647861.06783974729</v>
      </c>
      <c r="Z175" s="74">
        <f t="shared" si="100"/>
        <v>-597324.93970682437</v>
      </c>
      <c r="AA175" s="74">
        <f t="shared" si="100"/>
        <v>-543972.71214845043</v>
      </c>
      <c r="AB175" s="74">
        <f t="shared" si="100"/>
        <v>-487687.71094076172</v>
      </c>
      <c r="AC175" s="74">
        <f t="shared" si="100"/>
        <v>-428348.71129694447</v>
      </c>
      <c r="AD175" s="74">
        <f t="shared" si="100"/>
        <v>-365829.76155703916</v>
      </c>
      <c r="AE175" s="74">
        <f t="shared" si="100"/>
        <v>4.765752237290144E-10</v>
      </c>
      <c r="AF175" s="91">
        <f t="shared" si="100"/>
        <v>4.9563823267817501E-10</v>
      </c>
      <c r="AG175" s="91">
        <f t="shared" si="100"/>
        <v>5.1546376198530202E-10</v>
      </c>
      <c r="AH175" s="91">
        <f t="shared" si="100"/>
        <v>5.3608231246471412E-10</v>
      </c>
      <c r="AI175" s="91">
        <f t="shared" si="100"/>
        <v>5.5752560496330265E-10</v>
      </c>
      <c r="AJ175" s="91">
        <f t="shared" si="100"/>
        <v>5.7982662916183477E-10</v>
      </c>
      <c r="AK175" s="91">
        <f t="shared" si="100"/>
        <v>6.0301969432830819E-10</v>
      </c>
      <c r="AL175" s="91">
        <f t="shared" si="100"/>
        <v>6.2714048210144049E-10</v>
      </c>
      <c r="AM175" s="74">
        <f t="shared" si="100"/>
        <v>6.5222610138549809E-10</v>
      </c>
    </row>
    <row r="176" spans="2:39" x14ac:dyDescent="0.25">
      <c r="B176" s="18"/>
      <c r="AL176" s="73"/>
    </row>
    <row r="177" spans="2:39" s="73" customFormat="1" x14ac:dyDescent="0.25">
      <c r="B177" s="72" t="s">
        <v>62</v>
      </c>
    </row>
    <row r="178" spans="2:39" s="73" customFormat="1" x14ac:dyDescent="0.25">
      <c r="B178" s="72" t="str">
        <f>B120</f>
        <v>Annuïteit (kapitaalslasten)</v>
      </c>
      <c r="F178" s="75">
        <f t="shared" ref="F178:AM178" si="101">-F120</f>
        <v>0</v>
      </c>
      <c r="G178" s="75">
        <f t="shared" si="101"/>
        <v>69610.766507809138</v>
      </c>
      <c r="H178" s="75">
        <f t="shared" si="101"/>
        <v>69610.766507809138</v>
      </c>
      <c r="I178" s="75">
        <f t="shared" si="101"/>
        <v>69610.766507809138</v>
      </c>
      <c r="J178" s="75">
        <f t="shared" si="101"/>
        <v>69610.766507809138</v>
      </c>
      <c r="K178" s="75">
        <f t="shared" si="101"/>
        <v>69610.766507809138</v>
      </c>
      <c r="L178" s="75">
        <f t="shared" si="101"/>
        <v>69610.766507809138</v>
      </c>
      <c r="M178" s="75">
        <f t="shared" si="101"/>
        <v>69610.766507809138</v>
      </c>
      <c r="N178" s="75">
        <f t="shared" si="101"/>
        <v>69610.766507809138</v>
      </c>
      <c r="O178" s="75">
        <f t="shared" si="101"/>
        <v>69610.766507809138</v>
      </c>
      <c r="P178" s="75">
        <f t="shared" si="101"/>
        <v>69610.766507809138</v>
      </c>
      <c r="Q178" s="75">
        <f t="shared" si="101"/>
        <v>69610.766507809138</v>
      </c>
      <c r="R178" s="75">
        <f t="shared" si="101"/>
        <v>69610.766507809138</v>
      </c>
      <c r="S178" s="75">
        <f t="shared" si="101"/>
        <v>69610.766507809138</v>
      </c>
      <c r="T178" s="75">
        <f t="shared" si="101"/>
        <v>69610.766507809138</v>
      </c>
      <c r="U178" s="75">
        <f t="shared" si="101"/>
        <v>69610.766507809138</v>
      </c>
      <c r="V178" s="75">
        <f t="shared" si="101"/>
        <v>69610.766507809138</v>
      </c>
      <c r="W178" s="75">
        <f t="shared" si="101"/>
        <v>69610.766507809138</v>
      </c>
      <c r="X178" s="75">
        <f t="shared" si="101"/>
        <v>69610.766507809138</v>
      </c>
      <c r="Y178" s="75">
        <f t="shared" si="101"/>
        <v>69610.766507809138</v>
      </c>
      <c r="Z178" s="75">
        <f t="shared" si="101"/>
        <v>69610.766507809138</v>
      </c>
      <c r="AA178" s="75">
        <f t="shared" si="101"/>
        <v>69610.766507809138</v>
      </c>
      <c r="AB178" s="75">
        <f t="shared" si="101"/>
        <v>69610.766507809138</v>
      </c>
      <c r="AC178" s="75">
        <f t="shared" si="101"/>
        <v>69610.766507809138</v>
      </c>
      <c r="AD178" s="75">
        <f t="shared" si="101"/>
        <v>69610.766507809138</v>
      </c>
      <c r="AE178" s="75">
        <f t="shared" si="101"/>
        <v>69610.766507809138</v>
      </c>
      <c r="AF178" s="75">
        <f t="shared" si="101"/>
        <v>0</v>
      </c>
      <c r="AG178" s="75">
        <f t="shared" si="101"/>
        <v>0</v>
      </c>
      <c r="AH178" s="75">
        <f t="shared" si="101"/>
        <v>0</v>
      </c>
      <c r="AI178" s="75">
        <f t="shared" si="101"/>
        <v>0</v>
      </c>
      <c r="AJ178" s="75">
        <f t="shared" si="101"/>
        <v>0</v>
      </c>
      <c r="AK178" s="75">
        <f t="shared" si="101"/>
        <v>0</v>
      </c>
      <c r="AL178" s="75">
        <f t="shared" si="101"/>
        <v>0</v>
      </c>
      <c r="AM178" s="75">
        <f t="shared" si="101"/>
        <v>0</v>
      </c>
    </row>
    <row r="179" spans="2:39" s="73" customFormat="1" x14ac:dyDescent="0.25">
      <c r="B179" s="72" t="str">
        <f>B121</f>
        <v>Onderhoud</v>
      </c>
      <c r="F179" s="75">
        <f t="shared" ref="F179:AM179" si="102">-F121</f>
        <v>0</v>
      </c>
      <c r="G179" s="75">
        <f t="shared" si="102"/>
        <v>24000</v>
      </c>
      <c r="H179" s="75">
        <f t="shared" si="102"/>
        <v>24540</v>
      </c>
      <c r="I179" s="75">
        <f t="shared" si="102"/>
        <v>25092.149999999998</v>
      </c>
      <c r="J179" s="75">
        <f t="shared" si="102"/>
        <v>25656.723374999998</v>
      </c>
      <c r="K179" s="75">
        <f t="shared" si="102"/>
        <v>26233.999650937498</v>
      </c>
      <c r="L179" s="75">
        <f t="shared" si="102"/>
        <v>26824.264643083592</v>
      </c>
      <c r="M179" s="75">
        <f t="shared" si="102"/>
        <v>27427.810597552972</v>
      </c>
      <c r="N179" s="75">
        <f t="shared" si="102"/>
        <v>28044.936335997914</v>
      </c>
      <c r="O179" s="75">
        <f t="shared" si="102"/>
        <v>28675.947403557868</v>
      </c>
      <c r="P179" s="75">
        <f t="shared" si="102"/>
        <v>29321.15622013792</v>
      </c>
      <c r="Q179" s="75">
        <f t="shared" si="102"/>
        <v>29980.882235091023</v>
      </c>
      <c r="R179" s="75">
        <f t="shared" si="102"/>
        <v>30655.45208538057</v>
      </c>
      <c r="S179" s="75">
        <f t="shared" si="102"/>
        <v>31345.199757301631</v>
      </c>
      <c r="T179" s="75">
        <f t="shared" si="102"/>
        <v>32050.466751840915</v>
      </c>
      <c r="U179" s="75">
        <f t="shared" si="102"/>
        <v>32771.602253757337</v>
      </c>
      <c r="V179" s="75">
        <f t="shared" si="102"/>
        <v>33508.963304466874</v>
      </c>
      <c r="W179" s="75">
        <f t="shared" si="102"/>
        <v>34262.914978817375</v>
      </c>
      <c r="X179" s="75">
        <f t="shared" si="102"/>
        <v>35033.830565840763</v>
      </c>
      <c r="Y179" s="75">
        <f t="shared" si="102"/>
        <v>35822.091753572182</v>
      </c>
      <c r="Z179" s="75">
        <f t="shared" si="102"/>
        <v>36628.088818027558</v>
      </c>
      <c r="AA179" s="75">
        <f t="shared" si="102"/>
        <v>37452.220816433175</v>
      </c>
      <c r="AB179" s="75">
        <f t="shared" si="102"/>
        <v>38294.895784802917</v>
      </c>
      <c r="AC179" s="75">
        <f t="shared" si="102"/>
        <v>39156.530939960983</v>
      </c>
      <c r="AD179" s="75">
        <f t="shared" si="102"/>
        <v>40037.552886110105</v>
      </c>
      <c r="AE179" s="75">
        <f t="shared" si="102"/>
        <v>40938.397826047578</v>
      </c>
      <c r="AF179" s="75">
        <f t="shared" si="102"/>
        <v>0</v>
      </c>
      <c r="AG179" s="75">
        <f t="shared" si="102"/>
        <v>0</v>
      </c>
      <c r="AH179" s="75">
        <f t="shared" si="102"/>
        <v>0</v>
      </c>
      <c r="AI179" s="75">
        <f t="shared" si="102"/>
        <v>0</v>
      </c>
      <c r="AJ179" s="75">
        <f t="shared" si="102"/>
        <v>0</v>
      </c>
      <c r="AK179" s="75">
        <f t="shared" si="102"/>
        <v>0</v>
      </c>
      <c r="AL179" s="75">
        <f t="shared" si="102"/>
        <v>0</v>
      </c>
      <c r="AM179" s="75">
        <f t="shared" si="102"/>
        <v>0</v>
      </c>
    </row>
    <row r="180" spans="2:39" s="73" customFormat="1" x14ac:dyDescent="0.25">
      <c r="B180" s="72" t="str">
        <f>B122</f>
        <v>Beheerlasten</v>
      </c>
      <c r="F180" s="75">
        <f t="shared" ref="F180:AM180" si="103">-F122</f>
        <v>0</v>
      </c>
      <c r="G180" s="75">
        <f t="shared" si="103"/>
        <v>1800</v>
      </c>
      <c r="H180" s="75">
        <f t="shared" si="103"/>
        <v>1836</v>
      </c>
      <c r="I180" s="75">
        <f t="shared" si="103"/>
        <v>1872.72</v>
      </c>
      <c r="J180" s="75">
        <f t="shared" si="103"/>
        <v>1910.1744000000001</v>
      </c>
      <c r="K180" s="75">
        <f t="shared" si="103"/>
        <v>1948.3778880000002</v>
      </c>
      <c r="L180" s="75">
        <f t="shared" si="103"/>
        <v>1987.3454457600003</v>
      </c>
      <c r="M180" s="75">
        <f t="shared" si="103"/>
        <v>2027.0923546752003</v>
      </c>
      <c r="N180" s="75">
        <f t="shared" si="103"/>
        <v>2067.6342017687043</v>
      </c>
      <c r="O180" s="75">
        <f t="shared" si="103"/>
        <v>2108.9868858040786</v>
      </c>
      <c r="P180" s="75">
        <f t="shared" si="103"/>
        <v>2151.1666235201601</v>
      </c>
      <c r="Q180" s="75">
        <f t="shared" si="103"/>
        <v>2194.1899559905632</v>
      </c>
      <c r="R180" s="75">
        <f t="shared" si="103"/>
        <v>2238.0737551103743</v>
      </c>
      <c r="S180" s="75">
        <f t="shared" si="103"/>
        <v>2282.8352302125818</v>
      </c>
      <c r="T180" s="75">
        <f t="shared" si="103"/>
        <v>2328.4919348168337</v>
      </c>
      <c r="U180" s="75">
        <f t="shared" si="103"/>
        <v>2375.0617735131705</v>
      </c>
      <c r="V180" s="75">
        <f t="shared" si="103"/>
        <v>2422.563008983434</v>
      </c>
      <c r="W180" s="75">
        <f t="shared" si="103"/>
        <v>2471.0142691631027</v>
      </c>
      <c r="X180" s="75">
        <f t="shared" si="103"/>
        <v>2520.4345545463648</v>
      </c>
      <c r="Y180" s="75">
        <f t="shared" si="103"/>
        <v>2570.8432456372921</v>
      </c>
      <c r="Z180" s="75">
        <f t="shared" si="103"/>
        <v>2622.260110550038</v>
      </c>
      <c r="AA180" s="75">
        <f t="shared" si="103"/>
        <v>2674.7053127610388</v>
      </c>
      <c r="AB180" s="75">
        <f t="shared" si="103"/>
        <v>2728.1994190162595</v>
      </c>
      <c r="AC180" s="75">
        <f t="shared" si="103"/>
        <v>2782.7634073965846</v>
      </c>
      <c r="AD180" s="75">
        <f t="shared" si="103"/>
        <v>2838.4186755445162</v>
      </c>
      <c r="AE180" s="75">
        <f t="shared" si="103"/>
        <v>2895.1870490554065</v>
      </c>
      <c r="AF180" s="75">
        <f t="shared" si="103"/>
        <v>0</v>
      </c>
      <c r="AG180" s="75">
        <f t="shared" si="103"/>
        <v>0</v>
      </c>
      <c r="AH180" s="75">
        <f t="shared" si="103"/>
        <v>0</v>
      </c>
      <c r="AI180" s="75">
        <f t="shared" si="103"/>
        <v>0</v>
      </c>
      <c r="AJ180" s="75">
        <f t="shared" si="103"/>
        <v>0</v>
      </c>
      <c r="AK180" s="75">
        <f t="shared" si="103"/>
        <v>0</v>
      </c>
      <c r="AL180" s="75">
        <f t="shared" si="103"/>
        <v>0</v>
      </c>
      <c r="AM180" s="75">
        <f t="shared" si="103"/>
        <v>0</v>
      </c>
    </row>
    <row r="181" spans="2:39" s="73" customFormat="1" x14ac:dyDescent="0.25">
      <c r="B181" s="72" t="str">
        <f>B123</f>
        <v>Vaste lasten</v>
      </c>
      <c r="F181" s="75">
        <f t="shared" ref="F181:AM181" si="104">-F123</f>
        <v>0</v>
      </c>
      <c r="G181" s="75">
        <f t="shared" si="104"/>
        <v>3600</v>
      </c>
      <c r="H181" s="75">
        <f t="shared" si="104"/>
        <v>3681</v>
      </c>
      <c r="I181" s="75">
        <f t="shared" si="104"/>
        <v>3763.8224999999998</v>
      </c>
      <c r="J181" s="75">
        <f t="shared" si="104"/>
        <v>3848.5085062499998</v>
      </c>
      <c r="K181" s="75">
        <f t="shared" si="104"/>
        <v>3935.0999476406246</v>
      </c>
      <c r="L181" s="75">
        <f t="shared" si="104"/>
        <v>4023.6396964625383</v>
      </c>
      <c r="M181" s="75">
        <f t="shared" si="104"/>
        <v>4114.1715896329451</v>
      </c>
      <c r="N181" s="75">
        <f t="shared" si="104"/>
        <v>4206.7404503996859</v>
      </c>
      <c r="O181" s="75">
        <f t="shared" si="104"/>
        <v>4301.3921105336785</v>
      </c>
      <c r="P181" s="75">
        <f t="shared" si="104"/>
        <v>4398.1734330206864</v>
      </c>
      <c r="Q181" s="75">
        <f t="shared" si="104"/>
        <v>4497.1323352636518</v>
      </c>
      <c r="R181" s="75">
        <f t="shared" si="104"/>
        <v>4598.317812807084</v>
      </c>
      <c r="S181" s="75">
        <f t="shared" si="104"/>
        <v>4701.7799635952433</v>
      </c>
      <c r="T181" s="75">
        <f t="shared" si="104"/>
        <v>4807.5700127761365</v>
      </c>
      <c r="U181" s="75">
        <f t="shared" si="104"/>
        <v>4915.7403380635997</v>
      </c>
      <c r="V181" s="75">
        <f t="shared" si="104"/>
        <v>5026.3444956700305</v>
      </c>
      <c r="W181" s="75">
        <f t="shared" si="104"/>
        <v>5139.4372468226056</v>
      </c>
      <c r="X181" s="75">
        <f t="shared" si="104"/>
        <v>5255.0745848761144</v>
      </c>
      <c r="Y181" s="75">
        <f t="shared" si="104"/>
        <v>5373.3137630358269</v>
      </c>
      <c r="Z181" s="75">
        <f t="shared" si="104"/>
        <v>5494.2133227041331</v>
      </c>
      <c r="AA181" s="75">
        <f t="shared" si="104"/>
        <v>5617.8331224649755</v>
      </c>
      <c r="AB181" s="75">
        <f t="shared" si="104"/>
        <v>5744.2343677204371</v>
      </c>
      <c r="AC181" s="75">
        <f t="shared" si="104"/>
        <v>5873.4796409941464</v>
      </c>
      <c r="AD181" s="75">
        <f t="shared" si="104"/>
        <v>6005.6329329165146</v>
      </c>
      <c r="AE181" s="75">
        <f t="shared" si="104"/>
        <v>6140.7596739071359</v>
      </c>
      <c r="AF181" s="75">
        <f t="shared" si="104"/>
        <v>0</v>
      </c>
      <c r="AG181" s="75">
        <f t="shared" si="104"/>
        <v>0</v>
      </c>
      <c r="AH181" s="75">
        <f t="shared" si="104"/>
        <v>0</v>
      </c>
      <c r="AI181" s="75">
        <f t="shared" si="104"/>
        <v>0</v>
      </c>
      <c r="AJ181" s="75">
        <f t="shared" si="104"/>
        <v>0</v>
      </c>
      <c r="AK181" s="75">
        <f t="shared" si="104"/>
        <v>0</v>
      </c>
      <c r="AL181" s="75">
        <f t="shared" si="104"/>
        <v>0</v>
      </c>
      <c r="AM181" s="75">
        <f t="shared" si="104"/>
        <v>0</v>
      </c>
    </row>
    <row r="182" spans="2:39" s="73" customFormat="1" x14ac:dyDescent="0.25">
      <c r="B182" s="72" t="str">
        <f>B124</f>
        <v>BTW-schade onderhoud</v>
      </c>
      <c r="F182" s="75">
        <f t="shared" ref="F182:AM182" si="105">-F124</f>
        <v>0</v>
      </c>
      <c r="G182" s="75">
        <f t="shared" si="105"/>
        <v>2016</v>
      </c>
      <c r="H182" s="75">
        <f t="shared" si="105"/>
        <v>2061.36</v>
      </c>
      <c r="I182" s="75">
        <f t="shared" si="105"/>
        <v>2107.7406000000001</v>
      </c>
      <c r="J182" s="75">
        <f t="shared" si="105"/>
        <v>2155.1647634999999</v>
      </c>
      <c r="K182" s="75">
        <f t="shared" si="105"/>
        <v>2203.6559706787498</v>
      </c>
      <c r="L182" s="75">
        <f t="shared" si="105"/>
        <v>2253.2382300190216</v>
      </c>
      <c r="M182" s="75">
        <f t="shared" si="105"/>
        <v>2303.9360901944497</v>
      </c>
      <c r="N182" s="75">
        <f t="shared" si="105"/>
        <v>2355.7746522238249</v>
      </c>
      <c r="O182" s="75">
        <f t="shared" si="105"/>
        <v>2408.7795818988611</v>
      </c>
      <c r="P182" s="75">
        <f t="shared" si="105"/>
        <v>2462.9771224915853</v>
      </c>
      <c r="Q182" s="75">
        <f t="shared" si="105"/>
        <v>2518.3941077476461</v>
      </c>
      <c r="R182" s="75">
        <f t="shared" si="105"/>
        <v>2575.0579751719679</v>
      </c>
      <c r="S182" s="75">
        <f t="shared" si="105"/>
        <v>2632.9967796133369</v>
      </c>
      <c r="T182" s="75">
        <f t="shared" si="105"/>
        <v>2692.2392071546369</v>
      </c>
      <c r="U182" s="75">
        <f t="shared" si="105"/>
        <v>2752.8145893156161</v>
      </c>
      <c r="V182" s="75">
        <f t="shared" si="105"/>
        <v>2814.7529175752175</v>
      </c>
      <c r="W182" s="75">
        <f t="shared" si="105"/>
        <v>2878.0848582206595</v>
      </c>
      <c r="X182" s="75">
        <f t="shared" si="105"/>
        <v>2942.8417675306241</v>
      </c>
      <c r="Y182" s="75">
        <f t="shared" si="105"/>
        <v>3009.0557073000637</v>
      </c>
      <c r="Z182" s="75">
        <f t="shared" si="105"/>
        <v>3076.7594607143146</v>
      </c>
      <c r="AA182" s="75">
        <f t="shared" si="105"/>
        <v>3145.9865485803866</v>
      </c>
      <c r="AB182" s="75">
        <f t="shared" si="105"/>
        <v>3216.7712459234449</v>
      </c>
      <c r="AC182" s="75">
        <f t="shared" si="105"/>
        <v>3289.1485989567227</v>
      </c>
      <c r="AD182" s="75">
        <f t="shared" si="105"/>
        <v>3363.1544424332492</v>
      </c>
      <c r="AE182" s="75">
        <f t="shared" si="105"/>
        <v>3438.8254173879964</v>
      </c>
      <c r="AF182" s="75">
        <f t="shared" si="105"/>
        <v>0</v>
      </c>
      <c r="AG182" s="75">
        <f t="shared" si="105"/>
        <v>0</v>
      </c>
      <c r="AH182" s="75">
        <f t="shared" si="105"/>
        <v>0</v>
      </c>
      <c r="AI182" s="75">
        <f t="shared" si="105"/>
        <v>0</v>
      </c>
      <c r="AJ182" s="75">
        <f t="shared" si="105"/>
        <v>0</v>
      </c>
      <c r="AK182" s="75">
        <f t="shared" si="105"/>
        <v>0</v>
      </c>
      <c r="AL182" s="75">
        <f t="shared" si="105"/>
        <v>0</v>
      </c>
      <c r="AM182" s="75">
        <f t="shared" si="105"/>
        <v>0</v>
      </c>
    </row>
    <row r="183" spans="2:39" s="73" customFormat="1" x14ac:dyDescent="0.25">
      <c r="B183" s="72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</row>
    <row r="184" spans="2:39" s="73" customFormat="1" x14ac:dyDescent="0.25">
      <c r="B184" s="72" t="s">
        <v>57</v>
      </c>
      <c r="F184" s="75">
        <f t="shared" ref="F184:AM184" si="106">F126</f>
        <v>0</v>
      </c>
      <c r="G184" s="75">
        <f t="shared" si="106"/>
        <v>101026.76650780914</v>
      </c>
      <c r="H184" s="75">
        <f t="shared" si="106"/>
        <v>101729.12650780914</v>
      </c>
      <c r="I184" s="75">
        <f t="shared" si="106"/>
        <v>102447.19960780913</v>
      </c>
      <c r="J184" s="75">
        <f t="shared" si="106"/>
        <v>103181.33755255914</v>
      </c>
      <c r="K184" s="75">
        <f t="shared" si="106"/>
        <v>103931.89996506603</v>
      </c>
      <c r="L184" s="75">
        <f t="shared" si="106"/>
        <v>104699.2545231343</v>
      </c>
      <c r="M184" s="75">
        <f t="shared" si="106"/>
        <v>105483.7771398647</v>
      </c>
      <c r="N184" s="75">
        <f t="shared" si="106"/>
        <v>106285.85214819926</v>
      </c>
      <c r="O184" s="75">
        <f t="shared" si="106"/>
        <v>107105.87248960361</v>
      </c>
      <c r="P184" s="75">
        <f t="shared" si="106"/>
        <v>107944.23990697949</v>
      </c>
      <c r="Q184" s="75">
        <f t="shared" si="106"/>
        <v>108801.36514190202</v>
      </c>
      <c r="R184" s="75">
        <f t="shared" si="106"/>
        <v>109677.66813627914</v>
      </c>
      <c r="S184" s="75">
        <f t="shared" si="106"/>
        <v>110573.57823853193</v>
      </c>
      <c r="T184" s="75">
        <f t="shared" si="106"/>
        <v>111489.53441439765</v>
      </c>
      <c r="U184" s="75">
        <f t="shared" si="106"/>
        <v>112425.98546245885</v>
      </c>
      <c r="V184" s="75">
        <f t="shared" si="106"/>
        <v>113383.39023450468</v>
      </c>
      <c r="W184" s="75">
        <f t="shared" si="106"/>
        <v>114362.21786083287</v>
      </c>
      <c r="X184" s="75">
        <f t="shared" si="106"/>
        <v>115362.947980603</v>
      </c>
      <c r="Y184" s="75">
        <f t="shared" si="106"/>
        <v>116386.07097735451</v>
      </c>
      <c r="Z184" s="75">
        <f t="shared" si="106"/>
        <v>117432.08821980517</v>
      </c>
      <c r="AA184" s="75">
        <f t="shared" si="106"/>
        <v>118501.51230804871</v>
      </c>
      <c r="AB184" s="75">
        <f t="shared" si="106"/>
        <v>119594.86732527219</v>
      </c>
      <c r="AC184" s="75">
        <f t="shared" si="106"/>
        <v>120712.68909511759</v>
      </c>
      <c r="AD184" s="75">
        <f t="shared" si="106"/>
        <v>121855.52544481352</v>
      </c>
      <c r="AE184" s="75">
        <f t="shared" si="106"/>
        <v>123023.93647420726</v>
      </c>
      <c r="AF184" s="75">
        <f t="shared" si="106"/>
        <v>0</v>
      </c>
      <c r="AG184" s="75">
        <f t="shared" si="106"/>
        <v>0</v>
      </c>
      <c r="AH184" s="75">
        <f t="shared" si="106"/>
        <v>0</v>
      </c>
      <c r="AI184" s="75">
        <f t="shared" si="106"/>
        <v>0</v>
      </c>
      <c r="AJ184" s="75">
        <f t="shared" si="106"/>
        <v>0</v>
      </c>
      <c r="AK184" s="75">
        <f t="shared" si="106"/>
        <v>0</v>
      </c>
      <c r="AL184" s="75">
        <f t="shared" si="106"/>
        <v>0</v>
      </c>
      <c r="AM184" s="75">
        <f t="shared" si="106"/>
        <v>0</v>
      </c>
    </row>
    <row r="185" spans="2:39" s="73" customFormat="1" x14ac:dyDescent="0.25">
      <c r="B185" s="72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</row>
    <row r="186" spans="2:39" s="73" customFormat="1" x14ac:dyDescent="0.25">
      <c r="B186" s="72" t="str">
        <f>B192</f>
        <v>DCF WOZ looptijd 10 jaar</v>
      </c>
      <c r="C186" s="79">
        <f>E48</f>
        <v>109.563735732616</v>
      </c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</row>
    <row r="187" spans="2:39" s="73" customFormat="1" x14ac:dyDescent="0.25">
      <c r="B187" s="72" t="str">
        <f>B51</f>
        <v>DCF WOZ, looptijd technische levensduur opstal</v>
      </c>
      <c r="C187" s="79">
        <f>E78</f>
        <v>98.927989047032327</v>
      </c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</row>
    <row r="188" spans="2:39" s="73" customFormat="1" x14ac:dyDescent="0.25">
      <c r="B188" s="72" t="str">
        <f t="shared" ref="B188:B189" si="107">B194</f>
        <v>DCF Boekwaarde looptijd afschrijftermijn</v>
      </c>
      <c r="C188" s="79">
        <f>E108</f>
        <v>93.652227101996019</v>
      </c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</row>
    <row r="189" spans="2:39" s="73" customFormat="1" x14ac:dyDescent="0.25">
      <c r="B189" s="72" t="str">
        <f t="shared" si="107"/>
        <v>Kap.lasten Boekwaarde looptijd afschrijftermijn</v>
      </c>
      <c r="C189" s="79">
        <f>E128</f>
        <v>101.02676650780914</v>
      </c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</row>
    <row r="190" spans="2:39" s="73" customFormat="1" x14ac:dyDescent="0.25">
      <c r="B190" s="72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</row>
    <row r="191" spans="2:39" s="73" customFormat="1" x14ac:dyDescent="0.25">
      <c r="B191" s="72"/>
      <c r="F191" s="78" t="str">
        <f t="shared" ref="F191:AL191" si="108">F133</f>
        <v>Begin 2016</v>
      </c>
      <c r="G191" s="78">
        <f t="shared" si="108"/>
        <v>2016</v>
      </c>
      <c r="H191" s="78">
        <f t="shared" si="108"/>
        <v>2017</v>
      </c>
      <c r="I191" s="78">
        <f t="shared" si="108"/>
        <v>2018</v>
      </c>
      <c r="J191" s="78">
        <f t="shared" si="108"/>
        <v>2019</v>
      </c>
      <c r="K191" s="78">
        <f t="shared" si="108"/>
        <v>2020</v>
      </c>
      <c r="L191" s="78">
        <f t="shared" si="108"/>
        <v>2021</v>
      </c>
      <c r="M191" s="78">
        <f t="shared" si="108"/>
        <v>2022</v>
      </c>
      <c r="N191" s="78">
        <f t="shared" si="108"/>
        <v>2023</v>
      </c>
      <c r="O191" s="78">
        <f t="shared" si="108"/>
        <v>2024</v>
      </c>
      <c r="P191" s="78">
        <f t="shared" si="108"/>
        <v>2025</v>
      </c>
      <c r="Q191" s="78">
        <f t="shared" si="108"/>
        <v>2026</v>
      </c>
      <c r="R191" s="78">
        <f t="shared" si="108"/>
        <v>2027</v>
      </c>
      <c r="S191" s="78">
        <f t="shared" si="108"/>
        <v>2028</v>
      </c>
      <c r="T191" s="78">
        <f t="shared" si="108"/>
        <v>2029</v>
      </c>
      <c r="U191" s="78">
        <f t="shared" si="108"/>
        <v>2030</v>
      </c>
      <c r="V191" s="78">
        <f t="shared" si="108"/>
        <v>2031</v>
      </c>
      <c r="W191" s="78">
        <f t="shared" si="108"/>
        <v>2032</v>
      </c>
      <c r="X191" s="78">
        <f t="shared" si="108"/>
        <v>2033</v>
      </c>
      <c r="Y191" s="78">
        <f t="shared" si="108"/>
        <v>2034</v>
      </c>
      <c r="Z191" s="78">
        <f t="shared" si="108"/>
        <v>2035</v>
      </c>
      <c r="AA191" s="78">
        <f t="shared" si="108"/>
        <v>2036</v>
      </c>
      <c r="AB191" s="78">
        <f t="shared" si="108"/>
        <v>2037</v>
      </c>
      <c r="AC191" s="78">
        <f t="shared" si="108"/>
        <v>2038</v>
      </c>
      <c r="AD191" s="78">
        <f t="shared" si="108"/>
        <v>2039</v>
      </c>
      <c r="AE191" s="78">
        <f t="shared" si="108"/>
        <v>2040</v>
      </c>
      <c r="AF191" s="78">
        <f t="shared" si="108"/>
        <v>2041</v>
      </c>
      <c r="AG191" s="78">
        <f t="shared" si="108"/>
        <v>2042</v>
      </c>
      <c r="AH191" s="78">
        <f t="shared" si="108"/>
        <v>2043</v>
      </c>
      <c r="AI191" s="78">
        <f t="shared" si="108"/>
        <v>2044</v>
      </c>
      <c r="AJ191" s="78">
        <f t="shared" si="108"/>
        <v>2045</v>
      </c>
      <c r="AK191" s="78">
        <f t="shared" si="108"/>
        <v>2046</v>
      </c>
      <c r="AL191" s="78">
        <f t="shared" si="108"/>
        <v>2047</v>
      </c>
      <c r="AM191" s="75"/>
    </row>
    <row r="192" spans="2:39" s="73" customFormat="1" x14ac:dyDescent="0.25">
      <c r="B192" s="72" t="str">
        <f>C135</f>
        <v>DCF WOZ looptijd 10 jaar</v>
      </c>
      <c r="F192" s="75">
        <f>F144</f>
        <v>0</v>
      </c>
      <c r="G192" s="75">
        <f t="shared" ref="G192:AL192" si="109">G144</f>
        <v>109563.735732616</v>
      </c>
      <c r="H192" s="75">
        <f t="shared" si="109"/>
        <v>111755.01044726832</v>
      </c>
      <c r="I192" s="75">
        <f t="shared" si="109"/>
        <v>113990.11065621368</v>
      </c>
      <c r="J192" s="75">
        <f t="shared" si="109"/>
        <v>116269.91286933796</v>
      </c>
      <c r="K192" s="75">
        <f t="shared" si="109"/>
        <v>118595.31112672471</v>
      </c>
      <c r="L192" s="75">
        <f t="shared" si="109"/>
        <v>120967.21734925921</v>
      </c>
      <c r="M192" s="75">
        <f t="shared" si="109"/>
        <v>123386.5616962444</v>
      </c>
      <c r="N192" s="75">
        <f t="shared" si="109"/>
        <v>125854.29293016929</v>
      </c>
      <c r="O192" s="75">
        <f t="shared" si="109"/>
        <v>128371.37878877268</v>
      </c>
      <c r="P192" s="75">
        <f t="shared" si="109"/>
        <v>130938.80636454813</v>
      </c>
      <c r="Q192" s="75">
        <f t="shared" si="109"/>
        <v>0</v>
      </c>
      <c r="R192" s="75">
        <f t="shared" si="109"/>
        <v>0</v>
      </c>
      <c r="S192" s="75">
        <f t="shared" si="109"/>
        <v>0</v>
      </c>
      <c r="T192" s="75">
        <f t="shared" si="109"/>
        <v>0</v>
      </c>
      <c r="U192" s="75">
        <f t="shared" si="109"/>
        <v>0</v>
      </c>
      <c r="V192" s="75">
        <f t="shared" si="109"/>
        <v>0</v>
      </c>
      <c r="W192" s="75">
        <f t="shared" si="109"/>
        <v>0</v>
      </c>
      <c r="X192" s="75">
        <f t="shared" si="109"/>
        <v>0</v>
      </c>
      <c r="Y192" s="75">
        <f t="shared" si="109"/>
        <v>0</v>
      </c>
      <c r="Z192" s="75">
        <f t="shared" si="109"/>
        <v>0</v>
      </c>
      <c r="AA192" s="75">
        <f t="shared" si="109"/>
        <v>0</v>
      </c>
      <c r="AB192" s="75">
        <f t="shared" si="109"/>
        <v>0</v>
      </c>
      <c r="AC192" s="75">
        <f t="shared" si="109"/>
        <v>0</v>
      </c>
      <c r="AD192" s="75">
        <f t="shared" si="109"/>
        <v>0</v>
      </c>
      <c r="AE192" s="75">
        <f t="shared" si="109"/>
        <v>0</v>
      </c>
      <c r="AF192" s="75">
        <f t="shared" si="109"/>
        <v>0</v>
      </c>
      <c r="AG192" s="75">
        <f t="shared" si="109"/>
        <v>0</v>
      </c>
      <c r="AH192" s="75">
        <f t="shared" si="109"/>
        <v>0</v>
      </c>
      <c r="AI192" s="75">
        <f t="shared" si="109"/>
        <v>0</v>
      </c>
      <c r="AJ192" s="75">
        <f t="shared" si="109"/>
        <v>0</v>
      </c>
      <c r="AK192" s="75">
        <f t="shared" si="109"/>
        <v>0</v>
      </c>
      <c r="AL192" s="75">
        <f t="shared" si="109"/>
        <v>0</v>
      </c>
      <c r="AM192" s="75"/>
    </row>
    <row r="193" spans="2:39" s="73" customFormat="1" x14ac:dyDescent="0.25">
      <c r="B193" s="72" t="str">
        <f>B187</f>
        <v>DCF WOZ, looptijd technische levensduur opstal</v>
      </c>
      <c r="F193" s="75">
        <f>F159</f>
        <v>0</v>
      </c>
      <c r="G193" s="75">
        <f t="shared" ref="G193:AL193" si="110">G159</f>
        <v>98927.98904703233</v>
      </c>
      <c r="H193" s="75">
        <f t="shared" si="110"/>
        <v>100411.90888273783</v>
      </c>
      <c r="I193" s="75">
        <f t="shared" si="110"/>
        <v>101918.08751597891</v>
      </c>
      <c r="J193" s="75">
        <f t="shared" si="110"/>
        <v>103446.85882871861</v>
      </c>
      <c r="K193" s="75">
        <f t="shared" si="110"/>
        <v>104998.56171114941</v>
      </c>
      <c r="L193" s="75">
        <f t="shared" si="110"/>
        <v>106573.54013681666</v>
      </c>
      <c r="M193" s="75">
        <f t="shared" si="110"/>
        <v>108172.14323886893</v>
      </c>
      <c r="N193" s="75">
        <f t="shared" si="110"/>
        <v>109794.72538745198</v>
      </c>
      <c r="O193" s="75">
        <f t="shared" si="110"/>
        <v>111441.64626826378</v>
      </c>
      <c r="P193" s="75">
        <f t="shared" si="110"/>
        <v>113113.27096228774</v>
      </c>
      <c r="Q193" s="75">
        <f t="shared" si="110"/>
        <v>114809.97002672208</v>
      </c>
      <c r="R193" s="75">
        <f t="shared" si="110"/>
        <v>116532.11957712292</v>
      </c>
      <c r="S193" s="75">
        <f t="shared" si="110"/>
        <v>118280.10137077978</v>
      </c>
      <c r="T193" s="75">
        <f t="shared" si="110"/>
        <v>120054.30289134149</v>
      </c>
      <c r="U193" s="75">
        <f t="shared" si="110"/>
        <v>121855.11743471163</v>
      </c>
      <c r="V193" s="75">
        <f t="shared" si="110"/>
        <v>123682.94419623232</v>
      </c>
      <c r="W193" s="75">
        <f t="shared" si="110"/>
        <v>125538.18835917582</v>
      </c>
      <c r="X193" s="75">
        <f t="shared" si="110"/>
        <v>127421.26118456348</v>
      </c>
      <c r="Y193" s="75">
        <f t="shared" si="110"/>
        <v>129332.58010233195</v>
      </c>
      <c r="Z193" s="75">
        <f t="shared" si="110"/>
        <v>131272.56880386695</v>
      </c>
      <c r="AA193" s="75">
        <f t="shared" si="110"/>
        <v>133241.65733592497</v>
      </c>
      <c r="AB193" s="75">
        <f t="shared" si="110"/>
        <v>135240.28219596387</v>
      </c>
      <c r="AC193" s="75">
        <f t="shared" si="110"/>
        <v>137268.88642890335</v>
      </c>
      <c r="AD193" s="75">
        <f t="shared" si="110"/>
        <v>139327.91972533692</v>
      </c>
      <c r="AE193" s="75">
        <f t="shared" si="110"/>
        <v>141417.838521217</v>
      </c>
      <c r="AF193" s="75">
        <f t="shared" si="110"/>
        <v>143539.10609903527</v>
      </c>
      <c r="AG193" s="75">
        <f t="shared" si="110"/>
        <v>145692.19269052081</v>
      </c>
      <c r="AH193" s="75">
        <f t="shared" si="110"/>
        <v>147877.57558087865</v>
      </c>
      <c r="AI193" s="75">
        <f t="shared" si="110"/>
        <v>150095.73921459186</v>
      </c>
      <c r="AJ193" s="75">
        <f t="shared" si="110"/>
        <v>152347.17530281076</v>
      </c>
      <c r="AK193" s="75">
        <f t="shared" si="110"/>
        <v>0</v>
      </c>
      <c r="AL193" s="75">
        <f t="shared" si="110"/>
        <v>0</v>
      </c>
      <c r="AM193" s="75"/>
    </row>
    <row r="194" spans="2:39" s="73" customFormat="1" x14ac:dyDescent="0.25">
      <c r="B194" s="72" t="str">
        <f>C164</f>
        <v>DCF Boekwaarde looptijd afschrijftermijn</v>
      </c>
      <c r="F194" s="75">
        <f>F173</f>
        <v>0</v>
      </c>
      <c r="G194" s="75">
        <f t="shared" ref="G194:AL194" si="111">G173</f>
        <v>93652.227101996017</v>
      </c>
      <c r="H194" s="75">
        <f t="shared" si="111"/>
        <v>95057.010508525971</v>
      </c>
      <c r="I194" s="75">
        <f t="shared" si="111"/>
        <v>96482.86566615387</v>
      </c>
      <c r="J194" s="75">
        <f t="shared" si="111"/>
        <v>97930.108651146191</v>
      </c>
      <c r="K194" s="75">
        <f t="shared" si="111"/>
        <v>99399.0602809134</v>
      </c>
      <c r="L194" s="75">
        <f t="shared" si="111"/>
        <v>100890.04618512711</v>
      </c>
      <c r="M194" s="75">
        <f t="shared" si="111"/>
        <v>102403.39687790403</v>
      </c>
      <c r="N194" s="75">
        <f t="shared" si="111"/>
        <v>103939.4478310726</v>
      </c>
      <c r="O194" s="75">
        <f t="shared" si="111"/>
        <v>105498.5395485387</v>
      </c>
      <c r="P194" s="75">
        <f t="shared" si="111"/>
        <v>107081.0176417668</v>
      </c>
      <c r="Q194" s="75">
        <f t="shared" si="111"/>
        <v>108687.23290639331</v>
      </c>
      <c r="R194" s="75">
        <f t="shared" si="111"/>
        <v>110317.54139998923</v>
      </c>
      <c r="S194" s="75">
        <f t="shared" si="111"/>
        <v>111972.30452098908</v>
      </c>
      <c r="T194" s="75">
        <f t="shared" si="111"/>
        <v>113651.88908880393</v>
      </c>
      <c r="U194" s="75">
        <f t="shared" si="111"/>
        <v>115356.66742513601</v>
      </c>
      <c r="V194" s="75">
        <f t="shared" si="111"/>
        <v>117087.01743651307</v>
      </c>
      <c r="W194" s="75">
        <f t="shared" si="111"/>
        <v>118843.32269806077</v>
      </c>
      <c r="X194" s="75">
        <f t="shared" si="111"/>
        <v>120625.9725385317</v>
      </c>
      <c r="Y194" s="75">
        <f t="shared" si="111"/>
        <v>122435.36212660969</v>
      </c>
      <c r="Z194" s="75">
        <f t="shared" si="111"/>
        <v>124271.89255850884</v>
      </c>
      <c r="AA194" s="75">
        <f t="shared" si="111"/>
        <v>126135.97094688649</v>
      </c>
      <c r="AB194" s="75">
        <f t="shared" si="111"/>
        <v>128028.0105110898</v>
      </c>
      <c r="AC194" s="75">
        <f t="shared" si="111"/>
        <v>129948.43066875616</v>
      </c>
      <c r="AD194" s="75">
        <f t="shared" si="111"/>
        <v>131897.65712878751</v>
      </c>
      <c r="AE194" s="75">
        <f t="shared" si="111"/>
        <v>133876.12198571934</v>
      </c>
      <c r="AF194" s="75">
        <f t="shared" si="111"/>
        <v>0</v>
      </c>
      <c r="AG194" s="75">
        <f t="shared" si="111"/>
        <v>0</v>
      </c>
      <c r="AH194" s="75">
        <f t="shared" si="111"/>
        <v>0</v>
      </c>
      <c r="AI194" s="75">
        <f t="shared" si="111"/>
        <v>0</v>
      </c>
      <c r="AJ194" s="75">
        <f t="shared" si="111"/>
        <v>0</v>
      </c>
      <c r="AK194" s="75">
        <f t="shared" si="111"/>
        <v>0</v>
      </c>
      <c r="AL194" s="75">
        <f t="shared" si="111"/>
        <v>0</v>
      </c>
      <c r="AM194" s="75"/>
    </row>
    <row r="195" spans="2:39" x14ac:dyDescent="0.25">
      <c r="B195" s="72" t="str">
        <f>B111</f>
        <v>Kap.lasten Boekwaarde looptijd afschrijftermijn</v>
      </c>
      <c r="F195" s="77">
        <f>F184</f>
        <v>0</v>
      </c>
      <c r="G195" s="77">
        <f t="shared" ref="G195:AL195" si="112">G184</f>
        <v>101026.76650780914</v>
      </c>
      <c r="H195" s="77">
        <f t="shared" si="112"/>
        <v>101729.12650780914</v>
      </c>
      <c r="I195" s="77">
        <f t="shared" si="112"/>
        <v>102447.19960780913</v>
      </c>
      <c r="J195" s="77">
        <f t="shared" si="112"/>
        <v>103181.33755255914</v>
      </c>
      <c r="K195" s="77">
        <f t="shared" si="112"/>
        <v>103931.89996506603</v>
      </c>
      <c r="L195" s="77">
        <f t="shared" si="112"/>
        <v>104699.2545231343</v>
      </c>
      <c r="M195" s="77">
        <f t="shared" si="112"/>
        <v>105483.7771398647</v>
      </c>
      <c r="N195" s="77">
        <f t="shared" si="112"/>
        <v>106285.85214819926</v>
      </c>
      <c r="O195" s="77">
        <f t="shared" si="112"/>
        <v>107105.87248960361</v>
      </c>
      <c r="P195" s="77">
        <f t="shared" si="112"/>
        <v>107944.23990697949</v>
      </c>
      <c r="Q195" s="77">
        <f t="shared" si="112"/>
        <v>108801.36514190202</v>
      </c>
      <c r="R195" s="77">
        <f t="shared" si="112"/>
        <v>109677.66813627914</v>
      </c>
      <c r="S195" s="77">
        <f t="shared" si="112"/>
        <v>110573.57823853193</v>
      </c>
      <c r="T195" s="77">
        <f t="shared" si="112"/>
        <v>111489.53441439765</v>
      </c>
      <c r="U195" s="77">
        <f t="shared" si="112"/>
        <v>112425.98546245885</v>
      </c>
      <c r="V195" s="77">
        <f t="shared" si="112"/>
        <v>113383.39023450468</v>
      </c>
      <c r="W195" s="77">
        <f t="shared" si="112"/>
        <v>114362.21786083287</v>
      </c>
      <c r="X195" s="77">
        <f t="shared" si="112"/>
        <v>115362.947980603</v>
      </c>
      <c r="Y195" s="77">
        <f t="shared" si="112"/>
        <v>116386.07097735451</v>
      </c>
      <c r="Z195" s="77">
        <f t="shared" si="112"/>
        <v>117432.08821980517</v>
      </c>
      <c r="AA195" s="77">
        <f t="shared" si="112"/>
        <v>118501.51230804871</v>
      </c>
      <c r="AB195" s="77">
        <f t="shared" si="112"/>
        <v>119594.86732527219</v>
      </c>
      <c r="AC195" s="77">
        <f t="shared" si="112"/>
        <v>120712.68909511759</v>
      </c>
      <c r="AD195" s="77">
        <f t="shared" si="112"/>
        <v>121855.52544481352</v>
      </c>
      <c r="AE195" s="77">
        <f t="shared" si="112"/>
        <v>123023.93647420726</v>
      </c>
      <c r="AF195" s="77">
        <f t="shared" si="112"/>
        <v>0</v>
      </c>
      <c r="AG195" s="77">
        <f t="shared" si="112"/>
        <v>0</v>
      </c>
      <c r="AH195" s="77">
        <f t="shared" si="112"/>
        <v>0</v>
      </c>
      <c r="AI195" s="77">
        <f t="shared" si="112"/>
        <v>0</v>
      </c>
      <c r="AJ195" s="77">
        <f t="shared" si="112"/>
        <v>0</v>
      </c>
      <c r="AK195" s="77">
        <f t="shared" si="112"/>
        <v>0</v>
      </c>
      <c r="AL195" s="77">
        <f t="shared" si="112"/>
        <v>0</v>
      </c>
    </row>
    <row r="196" spans="2:39" x14ac:dyDescent="0.25"/>
    <row r="197" spans="2:39" x14ac:dyDescent="0.25"/>
    <row r="198" spans="2:39" x14ac:dyDescent="0.25"/>
    <row r="199" spans="2:39" x14ac:dyDescent="0.25"/>
    <row r="200" spans="2:39" x14ac:dyDescent="0.25"/>
    <row r="201" spans="2:39" x14ac:dyDescent="0.25"/>
    <row r="202" spans="2:39" x14ac:dyDescent="0.25"/>
    <row r="203" spans="2:39" x14ac:dyDescent="0.25"/>
    <row r="204" spans="2:39" x14ac:dyDescent="0.25"/>
    <row r="205" spans="2:39" x14ac:dyDescent="0.25"/>
    <row r="206" spans="2:39" x14ac:dyDescent="0.25"/>
    <row r="207" spans="2:39" x14ac:dyDescent="0.25"/>
    <row r="208" spans="2:39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</sheetData>
  <mergeCells count="2">
    <mergeCell ref="J13:K13"/>
    <mergeCell ref="J14:K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Grafieken en berekening</vt:lpstr>
      <vt:lpstr>'Grafieken en berekening'!Afdrukbereik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van den Wildenberg MSc</dc:creator>
  <cp:lastModifiedBy>Erik Vlaming MSc</cp:lastModifiedBy>
  <cp:lastPrinted>2015-11-06T14:20:00Z</cp:lastPrinted>
  <dcterms:created xsi:type="dcterms:W3CDTF">2015-11-06T08:37:04Z</dcterms:created>
  <dcterms:modified xsi:type="dcterms:W3CDTF">2016-02-29T08:58:05Z</dcterms:modified>
</cp:coreProperties>
</file>